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5" windowHeight="8940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<sst xmlns="http://schemas.openxmlformats.org/spreadsheetml/2006/main" count="622" uniqueCount="420">
  <si>
    <t>Code</t>
  </si>
  <si>
    <t>Aircraft_ICAO</t>
  </si>
  <si>
    <t>Aircraft_Name</t>
  </si>
  <si>
    <t>Engine_Name</t>
  </si>
  <si>
    <t>Max SHP per engine</t>
  </si>
  <si>
    <t>Number_of_Engines</t>
  </si>
  <si>
    <t>GI % SHP</t>
  </si>
  <si>
    <t xml:space="preserve">GI time </t>
  </si>
  <si>
    <t>GI fuel flow (kg)</t>
  </si>
  <si>
    <t>GI NOx (g/kg)</t>
  </si>
  <si>
    <t>GI HC (g/kg)</t>
  </si>
  <si>
    <t>GI CO (g/kg)</t>
  </si>
  <si>
    <t xml:space="preserve">GI Fuel Flow (/kg/s) </t>
  </si>
  <si>
    <t>PM (g/kg)</t>
  </si>
  <si>
    <t>PM number/kg fuel</t>
  </si>
  <si>
    <t>TO % SHP</t>
  </si>
  <si>
    <t xml:space="preserve">TO time </t>
  </si>
  <si>
    <t>TO fuel flow (kg)</t>
  </si>
  <si>
    <t>TO NOx (g/kg)</t>
  </si>
  <si>
    <t>TO HC</t>
  </si>
  <si>
    <t>TO CO (g/kg)</t>
  </si>
  <si>
    <t>TO PM (g/kg)</t>
  </si>
  <si>
    <t>TO PM number/kg fuel</t>
  </si>
  <si>
    <t>TO Fuel Flow (kg/s)</t>
  </si>
  <si>
    <t>AP % SHP</t>
  </si>
  <si>
    <t xml:space="preserve">AP time </t>
  </si>
  <si>
    <t>AP fuel flow (kg)</t>
  </si>
  <si>
    <t>AP NOx (g/kg)</t>
  </si>
  <si>
    <t>AP HC</t>
  </si>
  <si>
    <t>AP CO (g/kg)</t>
  </si>
  <si>
    <t>AP PM (g/kg)</t>
  </si>
  <si>
    <t>AP PM number kg/fuel</t>
  </si>
  <si>
    <t>AP Fuel Flow (kg/s)</t>
  </si>
  <si>
    <t>LTO fuel (kg)</t>
  </si>
  <si>
    <t>LTO NOx (g)</t>
  </si>
  <si>
    <t>LTO HC (g)</t>
  </si>
  <si>
    <t>LTO CO (g)</t>
  </si>
  <si>
    <t>LTO PM non volatile  (g)</t>
  </si>
  <si>
    <t>LTO PM number</t>
  </si>
  <si>
    <t>Mean operating helicopter specific scale factor</t>
  </si>
  <si>
    <t>Mean operating SHP %</t>
  </si>
  <si>
    <t>Mean fuel flow (kg/s)</t>
  </si>
  <si>
    <t>mean Nox (g/kg)</t>
  </si>
  <si>
    <t>Mean HC (g/kg)</t>
  </si>
  <si>
    <t>Mean CO (g/kg)</t>
  </si>
  <si>
    <t>Mean PM (g/kg)</t>
  </si>
  <si>
    <t>One hour fuel (kg)</t>
  </si>
  <si>
    <t>One hour NOx (kg)</t>
  </si>
  <si>
    <t>One hour HC (kg)</t>
  </si>
  <si>
    <t>One hour CO (kg)</t>
  </si>
  <si>
    <t>One hour PM non vol. (g)</t>
  </si>
  <si>
    <t>One hour PM number</t>
  </si>
  <si>
    <t>H109</t>
  </si>
  <si>
    <t>EC45</t>
  </si>
  <si>
    <t>EC 145</t>
  </si>
  <si>
    <t>ARRIEL 1E2</t>
  </si>
  <si>
    <t>H505</t>
  </si>
  <si>
    <t>2HAC</t>
  </si>
  <si>
    <t>PLACEHOLDER</t>
  </si>
  <si>
    <t>GE CT7-6</t>
  </si>
  <si>
    <t>H506</t>
  </si>
  <si>
    <t>S92</t>
  </si>
  <si>
    <t>SIKORSKY S92A</t>
  </si>
  <si>
    <t>GE CT7-8A</t>
  </si>
  <si>
    <t>H211</t>
  </si>
  <si>
    <t>LYNX</t>
  </si>
  <si>
    <t>WESTLAND BATTLEFIELD LYNX</t>
  </si>
  <si>
    <t>GEM 42-1</t>
  </si>
  <si>
    <t>H231</t>
  </si>
  <si>
    <t>Westland Wessex</t>
  </si>
  <si>
    <t>GNOME H1200</t>
  </si>
  <si>
    <t>H002</t>
  </si>
  <si>
    <t>A139</t>
  </si>
  <si>
    <t>AUGUSTA A139</t>
  </si>
  <si>
    <t>H&gt;1000HP</t>
  </si>
  <si>
    <t>H60</t>
  </si>
  <si>
    <t>SIKORSKY AH-60 BLACK HAWK</t>
  </si>
  <si>
    <t>H401</t>
  </si>
  <si>
    <t>MI26</t>
  </si>
  <si>
    <t>MIL MI-2</t>
  </si>
  <si>
    <t>ISOTOW GTD-350</t>
  </si>
  <si>
    <t>MI2</t>
  </si>
  <si>
    <t>ISOTOW GTD-350-4</t>
  </si>
  <si>
    <t>H701</t>
  </si>
  <si>
    <t>MIL MI-26</t>
  </si>
  <si>
    <t>LO D-136</t>
  </si>
  <si>
    <t>HF30</t>
  </si>
  <si>
    <t>AS32</t>
  </si>
  <si>
    <t>SUPER PUMA</t>
  </si>
  <si>
    <t>MAKILA 1A1</t>
  </si>
  <si>
    <t>H151</t>
  </si>
  <si>
    <t>TIGR</t>
  </si>
  <si>
    <t>EUROCOPTER 665 TIGER</t>
  </si>
  <si>
    <t>MTR 390</t>
  </si>
  <si>
    <t>H017</t>
  </si>
  <si>
    <t>AGUSTA A139</t>
  </si>
  <si>
    <t>PT6C-67C</t>
  </si>
  <si>
    <t>H013</t>
  </si>
  <si>
    <t>B412</t>
  </si>
  <si>
    <t>Bell 412</t>
  </si>
  <si>
    <t>PT6T-3</t>
  </si>
  <si>
    <t>Bell 412 HP</t>
  </si>
  <si>
    <t>PT6T-3BE</t>
  </si>
  <si>
    <t>H015</t>
  </si>
  <si>
    <t>PT6T-3D</t>
  </si>
  <si>
    <t>H801</t>
  </si>
  <si>
    <t>W3</t>
  </si>
  <si>
    <t>PZL W-3 SOKOL</t>
  </si>
  <si>
    <t>PZL-10W</t>
  </si>
  <si>
    <t>H501</t>
  </si>
  <si>
    <t>H53</t>
  </si>
  <si>
    <t>SIKORSKY CH-53G (S-65)</t>
  </si>
  <si>
    <t>T 64-GE-7</t>
  </si>
  <si>
    <t>H53S</t>
  </si>
  <si>
    <t>SIKORSKY SUPER STALLION</t>
  </si>
  <si>
    <t>H305</t>
  </si>
  <si>
    <t>H47</t>
  </si>
  <si>
    <t>CH-47 Chinook</t>
  </si>
  <si>
    <t>T55-GA-714A</t>
  </si>
  <si>
    <t>H502</t>
  </si>
  <si>
    <t>SIKORSKY MH53E</t>
  </si>
  <si>
    <t>T64-GE-416</t>
  </si>
  <si>
    <t>CH53</t>
  </si>
  <si>
    <t>SIKORSKY CH-53G</t>
  </si>
  <si>
    <t>T64-GE-7</t>
  </si>
  <si>
    <t>H503</t>
  </si>
  <si>
    <t>HUCO</t>
  </si>
  <si>
    <t>BELL 209 HUEYCOBRA</t>
  </si>
  <si>
    <t>T700-GE-401C</t>
  </si>
  <si>
    <t>SIKORSKY BLACK HAWK</t>
  </si>
  <si>
    <t>T700-GE-700</t>
  </si>
  <si>
    <t>H161</t>
  </si>
  <si>
    <t>HAL DHRUV MK.II</t>
  </si>
  <si>
    <t>TM333-2B2</t>
  </si>
  <si>
    <t>H181</t>
  </si>
  <si>
    <t>SA 330E Puma</t>
  </si>
  <si>
    <t>Turmo IV</t>
  </si>
  <si>
    <t>H402</t>
  </si>
  <si>
    <t>MI8</t>
  </si>
  <si>
    <t>MIL MI-8</t>
  </si>
  <si>
    <t>TV2-117</t>
  </si>
  <si>
    <t>H403</t>
  </si>
  <si>
    <t>KA27</t>
  </si>
  <si>
    <t>KA-32A12</t>
  </si>
  <si>
    <t>TV3-117 VMA</t>
  </si>
  <si>
    <t>H202</t>
  </si>
  <si>
    <t>A109</t>
  </si>
  <si>
    <t>AUGUSTA A109</t>
  </si>
  <si>
    <t>ALLISON 250-C20B</t>
  </si>
  <si>
    <t>AS55</t>
  </si>
  <si>
    <t>AS 355</t>
  </si>
  <si>
    <t>ALLISON 250-C20F</t>
  </si>
  <si>
    <t>H101</t>
  </si>
  <si>
    <t>AS65</t>
  </si>
  <si>
    <t>AS 365 C1 DAUPHIN</t>
  </si>
  <si>
    <t>ARRIEL 1A1</t>
  </si>
  <si>
    <t>AS 365 C2 DAUPHIN</t>
  </si>
  <si>
    <t>ARRIEL 1A2</t>
  </si>
  <si>
    <t>H103</t>
  </si>
  <si>
    <t>AS 365 N DAUPHIN</t>
  </si>
  <si>
    <t>ARRIEL 1C</t>
  </si>
  <si>
    <t>H104</t>
  </si>
  <si>
    <t>AS 365 N1 DAUPHIN</t>
  </si>
  <si>
    <t>ARRIEL 1C1</t>
  </si>
  <si>
    <t>H105</t>
  </si>
  <si>
    <t>AS 365 DAUPHIN</t>
  </si>
  <si>
    <t>ARRIEL 1C2</t>
  </si>
  <si>
    <t>H107</t>
  </si>
  <si>
    <t>AS 555 FENNEC</t>
  </si>
  <si>
    <t>ARRIEL 1D1</t>
  </si>
  <si>
    <t>H108</t>
  </si>
  <si>
    <t>BK17</t>
  </si>
  <si>
    <t>BK117</t>
  </si>
  <si>
    <t>BK117 C-2</t>
  </si>
  <si>
    <t xml:space="preserve">AGUSTA A109 K2 </t>
  </si>
  <si>
    <t>ARRIEL 1K1</t>
  </si>
  <si>
    <t>H111</t>
  </si>
  <si>
    <t>AS 365 N3 DAUPHIN</t>
  </si>
  <si>
    <t>ARRIEL 2C</t>
  </si>
  <si>
    <t>EC55</t>
  </si>
  <si>
    <t>EC 155 B</t>
  </si>
  <si>
    <t>ARRIEL 2C1</t>
  </si>
  <si>
    <t>H112</t>
  </si>
  <si>
    <t>EC 155 B1</t>
  </si>
  <si>
    <t>ARRIEL 2C2</t>
  </si>
  <si>
    <t>H114</t>
  </si>
  <si>
    <t>S76</t>
  </si>
  <si>
    <t>SIKORSKY S-76 C+</t>
  </si>
  <si>
    <t>ARRIEL 2S1</t>
  </si>
  <si>
    <t>H115</t>
  </si>
  <si>
    <t>SIKORSKY S-76C++</t>
  </si>
  <si>
    <t>ARRIEL 2S2</t>
  </si>
  <si>
    <t>H121</t>
  </si>
  <si>
    <t>AS 355 N</t>
  </si>
  <si>
    <t>ARRIUS 1A</t>
  </si>
  <si>
    <t>AS 355NP</t>
  </si>
  <si>
    <t>ARRIUS 1A1</t>
  </si>
  <si>
    <t>H122</t>
  </si>
  <si>
    <t>EC35</t>
  </si>
  <si>
    <t>EC 135</t>
  </si>
  <si>
    <t>ARRIUS 2B1</t>
  </si>
  <si>
    <t>ARRIUS 2B2</t>
  </si>
  <si>
    <t>H124</t>
  </si>
  <si>
    <t>AGUSTA A109 Power</t>
  </si>
  <si>
    <t>ARRIUS 2K</t>
  </si>
  <si>
    <t>H133</t>
  </si>
  <si>
    <t>EXPL</t>
  </si>
  <si>
    <t>MD 900</t>
  </si>
  <si>
    <t xml:space="preserve">ARSTOUSTE III B </t>
  </si>
  <si>
    <t>AS 355 ECUREUIL 21</t>
  </si>
  <si>
    <t>ARTOUSTE III B</t>
  </si>
  <si>
    <t>EC 155</t>
  </si>
  <si>
    <t>SIKORSKY S76</t>
  </si>
  <si>
    <t>AS 355 F2</t>
  </si>
  <si>
    <t>DDA250-C20F</t>
  </si>
  <si>
    <t>B105</t>
  </si>
  <si>
    <t>BO 105</t>
  </si>
  <si>
    <t>DDA250-C20</t>
  </si>
  <si>
    <t>AGUSTA A109A II</t>
  </si>
  <si>
    <t>DDA250-C20B</t>
  </si>
  <si>
    <t>H205</t>
  </si>
  <si>
    <t>AGUSTA A109C</t>
  </si>
  <si>
    <t>DDA250-C20R</t>
  </si>
  <si>
    <t>B06T</t>
  </si>
  <si>
    <t>Bell TWIN RANGER</t>
  </si>
  <si>
    <t>AGUSTA A109</t>
  </si>
  <si>
    <t>DDA250-C20R/1</t>
  </si>
  <si>
    <t>H207</t>
  </si>
  <si>
    <t>B203</t>
  </si>
  <si>
    <t>BELL 230</t>
  </si>
  <si>
    <t>DDA250-C30G</t>
  </si>
  <si>
    <t>DDA250-C30P</t>
  </si>
  <si>
    <t>DDA250-C30S</t>
  </si>
  <si>
    <t>H208</t>
  </si>
  <si>
    <t>B222</t>
  </si>
  <si>
    <t>BELL 222</t>
  </si>
  <si>
    <t>DDA250-C40B</t>
  </si>
  <si>
    <t>B430</t>
  </si>
  <si>
    <t>Bell 430</t>
  </si>
  <si>
    <t>H001</t>
  </si>
  <si>
    <t>H-1000HP</t>
  </si>
  <si>
    <t>H301</t>
  </si>
  <si>
    <t>BK117B</t>
  </si>
  <si>
    <t>LTS101-750B.1</t>
  </si>
  <si>
    <t>LTS101-750C.1</t>
  </si>
  <si>
    <t>H011</t>
  </si>
  <si>
    <t>PT6B-36A</t>
  </si>
  <si>
    <t>S58T</t>
  </si>
  <si>
    <t>SIKORSKY S58</t>
  </si>
  <si>
    <t>PT6T-31AG</t>
  </si>
  <si>
    <t>H016</t>
  </si>
  <si>
    <t>PT6T-6</t>
  </si>
  <si>
    <t>H020</t>
  </si>
  <si>
    <t>PW206A</t>
  </si>
  <si>
    <t>H022</t>
  </si>
  <si>
    <t>AGUSTA A109E</t>
  </si>
  <si>
    <t>PW206C</t>
  </si>
  <si>
    <t>H030</t>
  </si>
  <si>
    <t>PW207C</t>
  </si>
  <si>
    <t>H031</t>
  </si>
  <si>
    <t>B427</t>
  </si>
  <si>
    <t>Bell 427</t>
  </si>
  <si>
    <t>PW207D</t>
  </si>
  <si>
    <t>B429</t>
  </si>
  <si>
    <t>Bell 429</t>
  </si>
  <si>
    <t xml:space="preserve">PW207D </t>
  </si>
  <si>
    <t>H032</t>
  </si>
  <si>
    <t>MD 902</t>
  </si>
  <si>
    <t>PW207E</t>
  </si>
  <si>
    <t>H102</t>
  </si>
  <si>
    <t>AS35</t>
  </si>
  <si>
    <t>AS 350 ECUREUIL</t>
  </si>
  <si>
    <t>ARRIEL 1B</t>
  </si>
  <si>
    <t>H106</t>
  </si>
  <si>
    <t>AS 350B ECUREUIL </t>
  </si>
  <si>
    <t>AS50</t>
  </si>
  <si>
    <t>AS 550 FENNEC</t>
  </si>
  <si>
    <t>H110</t>
  </si>
  <si>
    <t>AS 350 B3</t>
  </si>
  <si>
    <t>ARRIEL 2B</t>
  </si>
  <si>
    <t>ARRIEL 2B1</t>
  </si>
  <si>
    <t>EC30</t>
  </si>
  <si>
    <t>EC 130 B4</t>
  </si>
  <si>
    <t>H113</t>
  </si>
  <si>
    <t>AS 350B3 ASTAR</t>
  </si>
  <si>
    <t>ARRIEL 2D</t>
  </si>
  <si>
    <t>H123</t>
  </si>
  <si>
    <t>EC20</t>
  </si>
  <si>
    <t>EC 120</t>
  </si>
  <si>
    <t>ARRIUS 2F</t>
  </si>
  <si>
    <t>H131</t>
  </si>
  <si>
    <t>ALO2</t>
  </si>
  <si>
    <t>ALOUETTE II</t>
  </si>
  <si>
    <t>ARTOUSTE II C5</t>
  </si>
  <si>
    <t>ARTOUSTE II C6</t>
  </si>
  <si>
    <t>H132</t>
  </si>
  <si>
    <t>B06</t>
  </si>
  <si>
    <t>2061 PANHA</t>
  </si>
  <si>
    <t>EC-120 COLIBRI</t>
  </si>
  <si>
    <t>EXEC</t>
  </si>
  <si>
    <t>ROTORWAY EXEC 90</t>
  </si>
  <si>
    <t>ALO3</t>
  </si>
  <si>
    <t>AEROSPATIALE SE 3160</t>
  </si>
  <si>
    <t>ARTOUSTE III B1</t>
  </si>
  <si>
    <t>SA316B ALOUETTE III</t>
  </si>
  <si>
    <t>ARTOUSTE IIIB</t>
  </si>
  <si>
    <t>LAMA</t>
  </si>
  <si>
    <t>SA315B LAMA</t>
  </si>
  <si>
    <t>H141</t>
  </si>
  <si>
    <t>GAZL</t>
  </si>
  <si>
    <t>SA341 GAZELLE</t>
  </si>
  <si>
    <t>ASTAZOU IIIA</t>
  </si>
  <si>
    <t>ASTAZOU IIIN2</t>
  </si>
  <si>
    <t>H142</t>
  </si>
  <si>
    <t>ASTAZOU XIVB</t>
  </si>
  <si>
    <t>SA342 GAZELLE</t>
  </si>
  <si>
    <t>ASTAZOU XIVG</t>
  </si>
  <si>
    <t>ASTAZOU XIVH</t>
  </si>
  <si>
    <t>H201</t>
  </si>
  <si>
    <t>H500</t>
  </si>
  <si>
    <t>HUGHES 500</t>
  </si>
  <si>
    <t>DDA250-C18</t>
  </si>
  <si>
    <t>H203</t>
  </si>
  <si>
    <t>BELL 206B</t>
  </si>
  <si>
    <t>MD52</t>
  </si>
  <si>
    <t>MD 520N</t>
  </si>
  <si>
    <t>HUGHES 501</t>
  </si>
  <si>
    <t>DDA250-C20J</t>
  </si>
  <si>
    <t>H204</t>
  </si>
  <si>
    <t>BELL 206L</t>
  </si>
  <si>
    <t>MD 500N</t>
  </si>
  <si>
    <t>HUGHES H369-500N</t>
  </si>
  <si>
    <t>DDA250-C20R/2</t>
  </si>
  <si>
    <t>DDA250-C20R/4</t>
  </si>
  <si>
    <t>EN48</t>
  </si>
  <si>
    <t>ENSTROM 480</t>
  </si>
  <si>
    <t>DDA250-C20W</t>
  </si>
  <si>
    <t>H206</t>
  </si>
  <si>
    <t>DDA250-C30</t>
  </si>
  <si>
    <t>H221</t>
  </si>
  <si>
    <t>B407</t>
  </si>
  <si>
    <t>Bell 407</t>
  </si>
  <si>
    <t>DDA250-C47B</t>
  </si>
  <si>
    <t>MD60</t>
  </si>
  <si>
    <t>MD 600N</t>
  </si>
  <si>
    <t>DDA250-C47M</t>
  </si>
  <si>
    <t>H307</t>
  </si>
  <si>
    <t>1HAC</t>
  </si>
  <si>
    <t>Marenco SH09</t>
  </si>
  <si>
    <t>HTS900-2</t>
  </si>
  <si>
    <t>H302</t>
  </si>
  <si>
    <t>AS 350 SD2 ASTAR</t>
  </si>
  <si>
    <t>LTS-101-700D2</t>
  </si>
  <si>
    <t>H171</t>
  </si>
  <si>
    <t>DJIN</t>
  </si>
  <si>
    <t>S.O. 1221 Djinn</t>
  </si>
  <si>
    <t>Palouste IV</t>
  </si>
  <si>
    <t>H012</t>
  </si>
  <si>
    <t>A119</t>
  </si>
  <si>
    <t>AGUSTA A119</t>
  </si>
  <si>
    <t>PT6B-37</t>
  </si>
  <si>
    <t>H014</t>
  </si>
  <si>
    <t>B212</t>
  </si>
  <si>
    <t>BELL 212</t>
  </si>
  <si>
    <t>H222</t>
  </si>
  <si>
    <t xml:space="preserve">BELL OH-58A+ </t>
  </si>
  <si>
    <t>RR T63-A-720</t>
  </si>
  <si>
    <t>H303</t>
  </si>
  <si>
    <t>KMAX</t>
  </si>
  <si>
    <t>K-1200</t>
  </si>
  <si>
    <t>T53 17A-1</t>
  </si>
  <si>
    <t>UH1</t>
  </si>
  <si>
    <t xml:space="preserve">BELL UH-1H </t>
  </si>
  <si>
    <t>T53 L13</t>
  </si>
  <si>
    <t>H304</t>
  </si>
  <si>
    <t>AGUSTA-BELL AB-204B</t>
  </si>
  <si>
    <t>T53-09A</t>
  </si>
  <si>
    <t>H901</t>
  </si>
  <si>
    <t>Syton AH130</t>
  </si>
  <si>
    <t>T62t</t>
  </si>
  <si>
    <t>HP71</t>
  </si>
  <si>
    <t>UH12</t>
  </si>
  <si>
    <t>HILLER UH-12B</t>
  </si>
  <si>
    <t>6V-335</t>
  </si>
  <si>
    <t>HP51</t>
  </si>
  <si>
    <t>SYCA</t>
  </si>
  <si>
    <t>BRISTOL SYCAMORE</t>
  </si>
  <si>
    <t>ALVIS LEONIDES</t>
  </si>
  <si>
    <t>HP42</t>
  </si>
  <si>
    <t>EN28</t>
  </si>
  <si>
    <t>ENSTROM 280C</t>
  </si>
  <si>
    <t>HIO-360</t>
  </si>
  <si>
    <t>H269</t>
  </si>
  <si>
    <t>SCHWEIZER 269C</t>
  </si>
  <si>
    <t>HU30</t>
  </si>
  <si>
    <t>HUGHES 300</t>
  </si>
  <si>
    <t>HP43</t>
  </si>
  <si>
    <t>R44</t>
  </si>
  <si>
    <t>R44 RAVEN</t>
  </si>
  <si>
    <t>HIO-540</t>
  </si>
  <si>
    <t>HP41</t>
  </si>
  <si>
    <t>R22</t>
  </si>
  <si>
    <t>R22 BETA</t>
  </si>
  <si>
    <t>HO-360</t>
  </si>
  <si>
    <t>HP61</t>
  </si>
  <si>
    <t>ROTORWAY RI-162</t>
  </si>
  <si>
    <t>HP62</t>
  </si>
  <si>
    <t>SCOR</t>
  </si>
  <si>
    <t>ROTORWAY SCORPION</t>
  </si>
  <si>
    <t>ROTORWAY RW 133</t>
  </si>
  <si>
    <t>ROTORWAYRI RW-152/D</t>
  </si>
  <si>
    <t>HP45</t>
  </si>
  <si>
    <t>B47G</t>
  </si>
  <si>
    <t>Bell 47G-3B</t>
  </si>
  <si>
    <t>TVO-435-A1D</t>
  </si>
  <si>
    <t>Bell 47G</t>
  </si>
  <si>
    <t>TVO-435-B1A</t>
  </si>
  <si>
    <t>HP44</t>
  </si>
  <si>
    <t>HILLER UH-12A</t>
  </si>
  <si>
    <t>TVO-540-1B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</si>
</sst>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33" borderId="10" xfId="51" applyFont="1" applyFill="1" applyBorder="1" applyAlignment="1" applyProtection="1">
      <alignment horizontal="center" wrapText="1"/>
      <protection locked="0"/>
    </xf>
    <xf numFmtId="0" fontId="1" fillId="34" borderId="10" xfId="51" applyFont="1" applyFill="1" applyBorder="1" applyAlignment="1" applyProtection="1">
      <alignment horizontal="center" wrapText="1"/>
      <protection locked="0"/>
    </xf>
    <xf numFmtId="0" fontId="1" fillId="34" borderId="11" xfId="51" applyFont="1" applyFill="1" applyBorder="1" applyAlignment="1" applyProtection="1">
      <alignment horizontal="center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7" borderId="10" xfId="0" applyFill="1" applyBorder="1" applyAlignment="1" applyProtection="1">
      <alignment wrapText="1"/>
      <protection locked="0"/>
    </xf>
    <xf numFmtId="1" fontId="0" fillId="38" borderId="10" xfId="0" applyNumberFormat="1" applyFill="1" applyBorder="1" applyAlignment="1" applyProtection="1">
      <alignment wrapText="1"/>
      <protection locked="0"/>
    </xf>
    <xf numFmtId="0" fontId="0" fillId="38" borderId="10" xfId="0" applyFill="1" applyBorder="1" applyAlignment="1" applyProtection="1">
      <alignment wrapText="1"/>
      <protection locked="0"/>
    </xf>
    <xf numFmtId="164" fontId="0" fillId="38" borderId="10" xfId="0" applyNumberFormat="1" applyFill="1" applyBorder="1" applyAlignment="1" applyProtection="1">
      <alignment wrapText="1"/>
      <protection locked="0"/>
    </xf>
    <xf numFmtId="0" fontId="0" fillId="38" borderId="11" xfId="0" applyFill="1" applyBorder="1" applyAlignment="1" applyProtection="1">
      <alignment wrapText="1"/>
      <protection locked="0"/>
    </xf>
    <xf numFmtId="0" fontId="1" fillId="37" borderId="12" xfId="51" applyFont="1" applyFill="1" applyBorder="1" applyAlignment="1" applyProtection="1">
      <alignment wrapText="1"/>
      <protection locked="0"/>
    </xf>
    <xf numFmtId="0" fontId="1" fillId="37" borderId="12" xfId="51" applyFont="1" applyFill="1" applyBorder="1" applyAlignment="1" applyProtection="1">
      <alignment horizontal="center" wrapText="1"/>
      <protection locked="0"/>
    </xf>
    <xf numFmtId="0" fontId="1" fillId="39" borderId="12" xfId="51" applyFont="1" applyFill="1" applyBorder="1" applyAlignment="1" applyProtection="1">
      <alignment horizontal="center" wrapText="1"/>
      <protection locked="0"/>
    </xf>
    <xf numFmtId="0" fontId="1" fillId="39" borderId="13" xfId="51" applyFont="1" applyFill="1" applyBorder="1" applyAlignment="1" applyProtection="1">
      <alignment horizontal="center" wrapText="1"/>
      <protection locked="0"/>
    </xf>
    <xf numFmtId="1" fontId="0" fillId="40" borderId="14" xfId="0" applyNumberFormat="1" applyFill="1" applyBorder="1" applyAlignment="1" applyProtection="1">
      <alignment horizontal="center"/>
      <protection locked="0"/>
    </xf>
    <xf numFmtId="0" fontId="0" fillId="40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40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8" borderId="10" xfId="0" applyFill="1" applyBorder="1" applyAlignment="1">
      <alignment/>
    </xf>
    <xf numFmtId="0" fontId="1" fillId="37" borderId="10" xfId="51" applyFont="1" applyFill="1" applyBorder="1" applyAlignment="1" applyProtection="1">
      <alignment wrapText="1"/>
      <protection locked="0"/>
    </xf>
    <xf numFmtId="0" fontId="1" fillId="37" borderId="10" xfId="51" applyFont="1" applyFill="1" applyBorder="1" applyAlignment="1" applyProtection="1">
      <alignment horizontal="center" wrapText="1"/>
      <protection locked="0"/>
    </xf>
    <xf numFmtId="0" fontId="1" fillId="39" borderId="10" xfId="51" applyFont="1" applyFill="1" applyBorder="1" applyAlignment="1" applyProtection="1">
      <alignment horizontal="center" wrapText="1"/>
      <protection locked="0"/>
    </xf>
    <xf numFmtId="1" fontId="0" fillId="40" borderId="10" xfId="0" applyNumberFormat="1" applyFill="1" applyBorder="1" applyAlignment="1" applyProtection="1">
      <alignment horizontal="center"/>
      <protection locked="0"/>
    </xf>
    <xf numFmtId="0" fontId="0" fillId="40" borderId="17" xfId="0" applyFill="1" applyBorder="1" applyAlignment="1">
      <alignment/>
    </xf>
    <xf numFmtId="0" fontId="1" fillId="37" borderId="10" xfId="51" applyFont="1" applyFill="1" applyBorder="1" applyAlignment="1" applyProtection="1">
      <alignment horizontal="center" wrapText="1"/>
      <protection locked="0"/>
    </xf>
    <xf numFmtId="0" fontId="1" fillId="37" borderId="10" xfId="5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37" borderId="10" xfId="0" applyFill="1" applyBorder="1" applyAlignment="1" applyProtection="1">
      <alignment/>
      <protection locked="0"/>
    </xf>
    <xf numFmtId="0" fontId="0" fillId="37" borderId="10" xfId="0" applyNumberFormat="1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1" xfId="0" applyBorder="1" applyAlignment="1">
      <alignment/>
    </xf>
    <xf numFmtId="0" fontId="0" fillId="37" borderId="10" xfId="0" applyFill="1" applyBorder="1" applyAlignment="1" applyProtection="1">
      <alignment/>
      <protection locked="0"/>
    </xf>
    <xf numFmtId="0" fontId="1" fillId="42" borderId="10" xfId="51" applyFont="1" applyFill="1" applyBorder="1" applyAlignment="1" applyProtection="1">
      <alignment wrapText="1"/>
      <protection locked="0"/>
    </xf>
    <xf numFmtId="0" fontId="1" fillId="37" borderId="18" xfId="51" applyFont="1" applyFill="1" applyBorder="1" applyAlignment="1" applyProtection="1">
      <alignment wrapText="1"/>
      <protection locked="0"/>
    </xf>
    <xf numFmtId="0" fontId="1" fillId="37" borderId="18" xfId="51" applyFont="1" applyFill="1" applyBorder="1" applyAlignment="1" applyProtection="1">
      <alignment horizontal="center" wrapText="1"/>
      <protection locked="0"/>
    </xf>
    <xf numFmtId="0" fontId="1" fillId="37" borderId="18" xfId="51" applyFont="1" applyFill="1" applyBorder="1" applyAlignment="1" applyProtection="1">
      <alignment wrapText="1"/>
      <protection locked="0"/>
    </xf>
    <xf numFmtId="0" fontId="1" fillId="39" borderId="0" xfId="51" applyFont="1" applyFill="1" applyBorder="1" applyAlignment="1" applyProtection="1">
      <alignment horizontal="center" wrapText="1"/>
      <protection locked="0"/>
    </xf>
    <xf numFmtId="0" fontId="1" fillId="39" borderId="18" xfId="51" applyFont="1" applyFill="1" applyBorder="1" applyAlignment="1" applyProtection="1">
      <alignment horizontal="center" wrapText="1"/>
      <protection locked="0"/>
    </xf>
    <xf numFmtId="1" fontId="0" fillId="40" borderId="18" xfId="0" applyNumberFormat="1" applyFill="1" applyBorder="1" applyAlignment="1" applyProtection="1">
      <alignment horizontal="center"/>
      <protection locked="0"/>
    </xf>
    <xf numFmtId="0" fontId="1" fillId="40" borderId="10" xfId="51" applyFill="1" applyBorder="1" applyAlignment="1" applyProtection="1">
      <alignment horizontal="center"/>
      <protection locked="0"/>
    </xf>
    <xf numFmtId="0" fontId="1" fillId="39" borderId="10" xfId="51" applyFont="1" applyFill="1" applyBorder="1" applyAlignment="1" applyProtection="1">
      <alignment horizontal="center" wrapText="1"/>
      <protection locked="0"/>
    </xf>
    <xf numFmtId="0" fontId="0" fillId="13" borderId="10" xfId="0" applyFill="1" applyBorder="1" applyAlignment="1">
      <alignment/>
    </xf>
    <xf numFmtId="0" fontId="0" fillId="13" borderId="10" xfId="0" applyFont="1" applyFill="1" applyBorder="1" applyAlignment="1">
      <alignment horizontal="center" vertical="center"/>
    </xf>
    <xf numFmtId="0" fontId="1" fillId="13" borderId="10" xfId="51" applyFont="1" applyFill="1" applyBorder="1" applyAlignment="1" applyProtection="1">
      <alignment wrapText="1"/>
      <protection locked="0"/>
    </xf>
    <xf numFmtId="0" fontId="1" fillId="43" borderId="10" xfId="51" applyFont="1" applyFill="1" applyBorder="1" applyAlignment="1" applyProtection="1">
      <alignment wrapText="1"/>
      <protection locked="0"/>
    </xf>
    <xf numFmtId="0" fontId="1" fillId="13" borderId="10" xfId="51" applyFont="1" applyFill="1" applyBorder="1" applyAlignment="1" applyProtection="1">
      <alignment wrapText="1"/>
      <protection locked="0"/>
    </xf>
    <xf numFmtId="0" fontId="1" fillId="43" borderId="10" xfId="51" applyFont="1" applyFill="1" applyBorder="1" applyAlignment="1" applyProtection="1">
      <alignment horizontal="center" wrapText="1"/>
      <protection locked="0"/>
    </xf>
    <xf numFmtId="0" fontId="0" fillId="44" borderId="10" xfId="0" applyFill="1" applyBorder="1" applyAlignment="1">
      <alignment/>
    </xf>
    <xf numFmtId="0" fontId="1" fillId="13" borderId="10" xfId="51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/>
    </xf>
    <xf numFmtId="0" fontId="1" fillId="43" borderId="18" xfId="51" applyFont="1" applyFill="1" applyBorder="1" applyAlignment="1" applyProtection="1">
      <alignment wrapText="1"/>
      <protection locked="0"/>
    </xf>
    <xf numFmtId="0" fontId="1" fillId="13" borderId="18" xfId="51" applyFont="1" applyFill="1" applyBorder="1" applyAlignment="1" applyProtection="1">
      <alignment horizontal="center" wrapText="1"/>
      <protection locked="0"/>
    </xf>
    <xf numFmtId="0" fontId="1" fillId="13" borderId="18" xfId="51" applyFont="1" applyFill="1" applyBorder="1" applyAlignment="1" applyProtection="1">
      <alignment wrapText="1"/>
      <protection locked="0"/>
    </xf>
    <xf numFmtId="0" fontId="0" fillId="40" borderId="19" xfId="0" applyFill="1" applyBorder="1" applyAlignment="1">
      <alignment/>
    </xf>
    <xf numFmtId="0" fontId="0" fillId="0" borderId="20" xfId="0" applyBorder="1" applyAlignment="1">
      <alignment/>
    </xf>
    <xf numFmtId="0" fontId="0" fillId="40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41" borderId="18" xfId="0" applyFill="1" applyBorder="1" applyAlignment="1">
      <alignment/>
    </xf>
    <xf numFmtId="0" fontId="0" fillId="37" borderId="18" xfId="0" applyFill="1" applyBorder="1" applyAlignment="1">
      <alignment/>
    </xf>
    <xf numFmtId="0" fontId="0" fillId="8" borderId="18" xfId="0" applyFill="1" applyBorder="1" applyAlignment="1">
      <alignment/>
    </xf>
    <xf numFmtId="0" fontId="0" fillId="13" borderId="10" xfId="0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80757~1\AppData\Local\Temp\Fabasoft\Work\Helicopter_Emissions_Calculation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CA2015"/>
      <sheetName val="FOCA Heli 2015 Web"/>
      <sheetName val="FOCA2009"/>
      <sheetName val="PM number"/>
      <sheetName val="Kurven Fuel Flow"/>
      <sheetName val="Kurven PM"/>
      <sheetName val="Kurven NOx"/>
      <sheetName val="Kurven CO"/>
      <sheetName val="Kurven VOC"/>
    </sheetNames>
    <sheetDataSet>
      <sheetData sheetId="3">
        <row r="12">
          <cell r="C12">
            <v>20</v>
          </cell>
          <cell r="D12">
            <v>21.8</v>
          </cell>
          <cell r="E12">
            <v>35.8</v>
          </cell>
          <cell r="F12">
            <v>31.1</v>
          </cell>
        </row>
        <row r="16">
          <cell r="C16">
            <v>19.1</v>
          </cell>
          <cell r="D16">
            <v>24.2</v>
          </cell>
          <cell r="E16">
            <v>38.5</v>
          </cell>
          <cell r="F16">
            <v>36.5</v>
          </cell>
        </row>
        <row r="20">
          <cell r="C20">
            <v>20.2</v>
          </cell>
          <cell r="D20">
            <v>20.4</v>
          </cell>
          <cell r="E20">
            <v>31.5</v>
          </cell>
          <cell r="F20">
            <v>30</v>
          </cell>
        </row>
        <row r="24">
          <cell r="C24">
            <v>0.2</v>
          </cell>
        </row>
        <row r="25">
          <cell r="C25">
            <v>18.9</v>
          </cell>
          <cell r="D25">
            <v>29.2</v>
          </cell>
          <cell r="E25">
            <v>40.3</v>
          </cell>
          <cell r="F25">
            <v>39.3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44"/>
  <sheetViews>
    <sheetView tabSelected="1" zoomScalePageLayoutView="0" workbookViewId="0" topLeftCell="AJ1">
      <pane ySplit="1" topLeftCell="A131" activePane="bottomLeft" state="frozen"/>
      <selection pane="topLeft" activeCell="A1" sqref="A1"/>
      <selection pane="bottomLeft" activeCell="AP130" sqref="AP130"/>
    </sheetView>
  </sheetViews>
  <sheetFormatPr defaultColWidth="11.421875" defaultRowHeight="12.75"/>
  <sheetData>
    <row r="1" spans="1:52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3" t="s">
        <v>23</v>
      </c>
      <c r="Y1" s="1" t="s">
        <v>24</v>
      </c>
      <c r="Z1" s="1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3" t="s">
        <v>31</v>
      </c>
      <c r="AG1" s="2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5" t="s">
        <v>39</v>
      </c>
      <c r="AO1" s="5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7" t="s">
        <v>46</v>
      </c>
      <c r="AV1" s="8" t="s">
        <v>47</v>
      </c>
      <c r="AW1" s="8" t="s">
        <v>48</v>
      </c>
      <c r="AX1" s="8" t="s">
        <v>49</v>
      </c>
      <c r="AY1" s="9" t="s">
        <v>50</v>
      </c>
      <c r="AZ1" s="10" t="s">
        <v>51</v>
      </c>
    </row>
    <row r="2" spans="1:52" ht="12.75">
      <c r="A2" s="11" t="s">
        <v>52</v>
      </c>
      <c r="B2" s="12" t="s">
        <v>53</v>
      </c>
      <c r="C2" s="11" t="s">
        <v>54</v>
      </c>
      <c r="D2" s="11" t="s">
        <v>55</v>
      </c>
      <c r="E2" s="13">
        <v>738</v>
      </c>
      <c r="F2" s="14">
        <v>2</v>
      </c>
      <c r="G2" s="15">
        <v>6</v>
      </c>
      <c r="H2" s="16">
        <v>5</v>
      </c>
      <c r="I2" s="17">
        <f aca="true" t="shared" si="0" ref="I2:I11">ROUND(M2*300,1)</f>
        <v>4</v>
      </c>
      <c r="J2" s="17">
        <f aca="true" t="shared" si="1" ref="J2:J11">ROUND(0.2113*((G2/100)*E2)^0.5677,1)</f>
        <v>1.8</v>
      </c>
      <c r="K2" s="17">
        <f aca="true" t="shared" si="2" ref="K2:K11">ROUND(3819*((G2/100)*E2)^(-1.0801),2)</f>
        <v>63.66</v>
      </c>
      <c r="L2" s="17">
        <f aca="true" t="shared" si="3" ref="L2:L11">ROUND(5660*((G2/100)*E2)^-1.11,1)</f>
        <v>84.2</v>
      </c>
      <c r="M2" s="18">
        <f aca="true" t="shared" si="4" ref="M2:M11">IF($E2&gt;1000,4.0539*10^(-18)*((G2/100)*E2)^5-3.16298*10^(-14)*((G2/100)*E2)^4+9.2087*10^(-11)*((G2/100)*E2)^3-1.2156*10^(-7)*((G2/100)*E2)^2+1.1476*10^(-4)*((G2/100)*E2)+0.01256,IF($E2&gt;600,3.3158*10^(-16)*((G2/100)*E2)^5-1.0175*10^(-12)*((G2/100)*E2)^4+1.1627*10^(-9)*((G2/100)*E2)^3-5.9528*10^(-7)*((G2/100)*E2)^2+1.8168*10^(-4)*((G2/100)*E2)+0.0062945,2.197*10^(-15)*((G2/100)*E2)^5-4.4441*10^(-12)*((G2/100)*E2)^4+3.4208*10^(-9)*((G2/100)*E2)^3-1.2138*10^(-6)*((G2/100)*E2)^2+2.414*10^(-4)*((G2/100)*E2)+0.004583))</f>
        <v>0.013269205026152368</v>
      </c>
      <c r="N2" s="17">
        <f aca="true" t="shared" si="5" ref="N2:N11">ROUND((-0.000006*((G2/100)*E2)^2+0.02958*((G2/100)*E2)+13.2)*8/1000,3)</f>
        <v>0.116</v>
      </c>
      <c r="O2" s="17">
        <f>(N2*1000)/((3.1415/6)*1000*('[1]PM number'!C20*0.000000001)^3*EXP(4.5*1.8^2))</f>
        <v>12514241192433972</v>
      </c>
      <c r="P2" s="19">
        <v>66</v>
      </c>
      <c r="Q2" s="19">
        <v>3</v>
      </c>
      <c r="R2" s="20">
        <f aca="true" t="shared" si="6" ref="R2:R11">ROUND(X2*(Q2*60),1)</f>
        <v>7.2</v>
      </c>
      <c r="S2" s="20">
        <f aca="true" t="shared" si="7" ref="S2:S11">ROUND(0.2113*((P2/100)*E2)^0.5677,1)</f>
        <v>7.1</v>
      </c>
      <c r="T2" s="20">
        <f aca="true" t="shared" si="8" ref="T2:T11">ROUND(3819*((P2/100)*E2)^(-1.0801),2)</f>
        <v>4.78</v>
      </c>
      <c r="U2" s="20">
        <f aca="true" t="shared" si="9" ref="U2:U11">ROUND(5660*((P2/100)*E2)^-1.11,1)</f>
        <v>5.9</v>
      </c>
      <c r="V2" s="20">
        <f aca="true" t="shared" si="10" ref="V2:V10">ROUND((-0.000006*((P2/100)*E2)^2+0.02958*((P2/100)*E2)+13.2)*8/1000,3)</f>
        <v>0.209</v>
      </c>
      <c r="W2" s="17">
        <f>(V2*1000)/((3.1415/6)*1000*('[1]PM number'!$E$20*0.000000001)^3*EXP(4.5*1.8^2))</f>
        <v>5945868019338012</v>
      </c>
      <c r="X2">
        <f aca="true" t="shared" si="11" ref="X2:X11">IF($E2&gt;1000,4.0539*10^(-18)*((P2/100)*E2)^5-3.16298*10^(-14)*((P2/100)*E2)^4+9.2087*10^(-11)*((P2/100)*E2)^3-1.2156*10^(-7)*((P2/100)*E2)^2+1.1476*10^(-4)*((P2/100)*E2)+0.01256,IF($E2&gt;600,3.3158*10^(-16)*((P2/100)*E2)^5-1.0175*10^(-12)*((P2/100)*E2)^4+1.1627*10^(-9)*((P2/100)*E2)^3-5.9528*10^(-7)*((P2/100)*E2)^2+1.8168*10^(-4)*((P2/100)*E2)+0.0062945,2.197*10^(-15)*((P2/100)*E2)^5-4.4441*10^(-12)*((P2/100)*E2)^4+3.4208*10^(-9)*((P2/100)*E2)^3-1.2138*10^(-6)*((P2/100)*E2)^2+2.414*10^(-4)*((P2/100)*E2)+0.004583))</f>
        <v>0.03973783331143147</v>
      </c>
      <c r="Y2" s="19">
        <v>32</v>
      </c>
      <c r="Z2" s="19">
        <v>5.5</v>
      </c>
      <c r="AA2" s="20">
        <f aca="true" t="shared" si="12" ref="AA2:AA11">ROUND(AG2*(Z2*60),1)</f>
        <v>9.4</v>
      </c>
      <c r="AB2" s="20">
        <f aca="true" t="shared" si="13" ref="AB2:AB11">ROUND(0.2113*((Y2/100)*E2)^0.5677,1)</f>
        <v>4.7</v>
      </c>
      <c r="AC2" s="20">
        <f aca="true" t="shared" si="14" ref="AC2:AC11">ROUND(3819*((Y2/100)*E2)^(-1.0801),2)</f>
        <v>10.44</v>
      </c>
      <c r="AD2" s="20">
        <f aca="true" t="shared" si="15" ref="AD2:AD11">ROUND(5660*((Y2/100)*E2)^-1.11,1)</f>
        <v>13.1</v>
      </c>
      <c r="AE2" s="20">
        <f aca="true" t="shared" si="16" ref="AE2:AE11">ROUND((-0.000006*((Y2/100)*E2)^2+0.02958*((Y2/100)*E2)+13.2)*8/1000,3)</f>
        <v>0.159</v>
      </c>
      <c r="AF2" s="17">
        <f>(AE2*1000)/((3.1415/6)*1000*('[1]PM number'!$D$20*0.000000001)^3*EXP(4.5*1.8^2))</f>
        <v>16653566754651464</v>
      </c>
      <c r="AG2" s="17">
        <f aca="true" t="shared" si="17" ref="AG2:AG11">IF($E2&gt;1000,4.0539*10^(-18)*((Y2/100)*E2)^5-3.16298*10^(-14)*((Y2/100)*E2)^4+9.2087*10^(-11)*((Y2/100)*E2)^3-1.2156*10^(-7)*((Y2/100)*E2)^2+1.1476*10^(-4)*((Y2/100)*E2)+0.01256,IF($E2&gt;600,3.3158*10^(-16)*((Y2/100)*E2)^5-1.0175*10^(-12)*((Y2/100)*E2)^4+1.1627*10^(-9)*((Y2/100)*E2)^3-5.9528*10^(-7)*((Y2/100)*E2)^2+1.8168*10^(-4)*((Y2/100)*E2)+0.0062945,2.197*10^(-15)*((Y2/100)*E2)^5-4.4441*10^(-12)*((Y2/100)*E2)^4+3.4208*10^(-9)*((Y2/100)*E2)^3-1.2138*10^(-6)*((Y2/100)*E2)^2+2.414*10^(-4)*((Y2/100)*E2)+0.004583))</f>
        <v>0.028392963825026693</v>
      </c>
      <c r="AH2" s="21">
        <f aca="true" t="shared" si="18" ref="AH2:AH10">ROUND((I2+R2+AA2)*F2,1)</f>
        <v>41.2</v>
      </c>
      <c r="AI2" s="21">
        <f aca="true" t="shared" si="19" ref="AI2:AI10">ROUND((J2*I2+S2*R2+AB2*AA2)*F2,1)</f>
        <v>205</v>
      </c>
      <c r="AJ2" s="21">
        <f aca="true" t="shared" si="20" ref="AJ2:AJ65">ROUND((K2*I2+T2*R2+AC2*AA2)*F2,1)</f>
        <v>774.4</v>
      </c>
      <c r="AK2" s="21">
        <f aca="true" t="shared" si="21" ref="AK2:AK10">ROUND((I2*L2+R2*U2+AA2*AD2)*F2,1)</f>
        <v>1004.8</v>
      </c>
      <c r="AL2" s="21">
        <f aca="true" t="shared" si="22" ref="AL2:AL10">ROUND((N2*I2+V2*R2+AE2*AA2)*F2,1)</f>
        <v>6.9</v>
      </c>
      <c r="AM2" s="21">
        <f aca="true" t="shared" si="23" ref="AM2:AM65">O2+W2+AF2</f>
        <v>35113675966423450</v>
      </c>
      <c r="AN2" s="19">
        <v>1</v>
      </c>
      <c r="AO2" s="19">
        <v>62</v>
      </c>
      <c r="AP2" s="22">
        <f aca="true" t="shared" si="24" ref="AP2:AP11">IF($E2&gt;1000,4.0539*10^(-18)*((AO2/100)*E2)^5-3.16298*10^(-14)*((AO2/100)*E2)^4+9.2087*10^(-11)*((AO2/100)*E2)^3-1.2156*10^(-7)*((AO2/100)*E2)^2+1.1476*10^(-4)*((AO2/100)*E2)+0.01256,IF($E2&gt;600,3.3158*10^(-16)*((AO2/100)*E2)^5-1.0175*10^(-12)*((AO2/100)*E2)^4+1.1627*10^(-9)*((AO2/100)*E2)^3-5.9528*10^(-7)*((AO2/100)*E2)^2+1.8168*10^(-4)*((AO2/100)*E2)+0.0062945,2.197*10^(-15)*((AO2/100)*E2)^5-4.4441*10^(-12)*((AO2/100)*E2)^4+3.4208*10^(-9)*((AO2/100)*E2)^3-1.2138*10^(-6)*((AO2/100)*E2)^2+2.414*10^(-4)*((AO2/100)*E2)+0.004583))</f>
        <v>0.0382276283051367</v>
      </c>
      <c r="AQ2" s="22">
        <f aca="true" t="shared" si="25" ref="AQ2:AQ11">ROUND(0.2113*((AO2/100)*E2)^0.5677,1)</f>
        <v>6.8</v>
      </c>
      <c r="AR2" s="22">
        <f aca="true" t="shared" si="26" ref="AR2:AR11">ROUND(3819*((AO2/100)*E2)^(-1.0801),2)</f>
        <v>5.11</v>
      </c>
      <c r="AS2" s="22">
        <f aca="true" t="shared" si="27" ref="AS2:AS11">ROUND(5660*((AO2/100)*E2)^-1.11,1)</f>
        <v>6.3</v>
      </c>
      <c r="AT2" s="22">
        <f aca="true" t="shared" si="28" ref="AT2:AT10">ROUND((-0.000006*((AO2/100)*E2)^2+0.02958*((AO2/100)*E2)+13.2)*8/1000,3)</f>
        <v>0.204</v>
      </c>
      <c r="AU2" s="23">
        <f aca="true" t="shared" si="29" ref="AU2:AU65">ROUND(3600*AP2*AN2*F2,1)</f>
        <v>275.2</v>
      </c>
      <c r="AV2" s="23">
        <f aca="true" t="shared" si="30" ref="AV2:AV65">ROUND(3600*AP2*AN2*AQ2*F2/1000,2)</f>
        <v>1.87</v>
      </c>
      <c r="AW2" s="23">
        <f aca="true" t="shared" si="31" ref="AW2:AW65">ROUND(3600*AP2*AN2*AR2*F2/1000,2)</f>
        <v>1.41</v>
      </c>
      <c r="AX2" s="23">
        <f aca="true" t="shared" si="32" ref="AX2:AX65">ROUND(3600*AP2*AN2*AS2*F2/1000,2)</f>
        <v>1.73</v>
      </c>
      <c r="AY2" s="23">
        <f aca="true" t="shared" si="33" ref="AY2:AY65">ROUND((3600*AP2*AN2*AT2*F2/1000)*1000,1)</f>
        <v>56.1</v>
      </c>
      <c r="AZ2" s="23">
        <f>(AY2*1000)/((3.1415/6)*1000*('[1]PM number'!F20*0.000000001)^3*EXP(4.5*1.8^2))</f>
        <v>1.8475650461062874E+18</v>
      </c>
    </row>
    <row r="3" spans="1:52" ht="25.5">
      <c r="A3" s="24" t="s">
        <v>56</v>
      </c>
      <c r="B3" s="25" t="s">
        <v>57</v>
      </c>
      <c r="C3" s="24" t="s">
        <v>58</v>
      </c>
      <c r="D3" s="24" t="s">
        <v>59</v>
      </c>
      <c r="E3" s="26">
        <v>1920</v>
      </c>
      <c r="F3" s="26">
        <v>2</v>
      </c>
      <c r="G3" s="27">
        <v>6</v>
      </c>
      <c r="H3" s="28">
        <v>5</v>
      </c>
      <c r="I3" s="17">
        <f t="shared" si="0"/>
        <v>7.3</v>
      </c>
      <c r="J3" s="17">
        <f t="shared" si="1"/>
        <v>3.1</v>
      </c>
      <c r="K3" s="17">
        <f t="shared" si="2"/>
        <v>22.67</v>
      </c>
      <c r="L3" s="17">
        <f t="shared" si="3"/>
        <v>29.1</v>
      </c>
      <c r="M3" s="18">
        <f t="shared" si="4"/>
        <v>0.02430242076924073</v>
      </c>
      <c r="N3" s="17">
        <f t="shared" si="5"/>
        <v>0.132</v>
      </c>
      <c r="O3" s="17">
        <f>(N3*1000)/((3.1415/6)*1000*('[1]PM number'!C20*0.000000001)^3*EXP(4.5*1.8^2))</f>
        <v>14240343425873142</v>
      </c>
      <c r="P3" s="19">
        <v>66</v>
      </c>
      <c r="Q3" s="19">
        <v>3</v>
      </c>
      <c r="R3" s="20">
        <f t="shared" si="6"/>
        <v>14.7</v>
      </c>
      <c r="S3" s="20">
        <f t="shared" si="7"/>
        <v>12.2</v>
      </c>
      <c r="T3" s="20">
        <f t="shared" si="8"/>
        <v>1.7</v>
      </c>
      <c r="U3" s="20">
        <f t="shared" si="9"/>
        <v>2</v>
      </c>
      <c r="V3" s="20">
        <f t="shared" si="10"/>
        <v>0.328</v>
      </c>
      <c r="W3" s="17">
        <f>(V3*1000)/((3.1415/6)*1000*('[1]PM number'!$E$20*0.000000001)^3*EXP(4.5*1.8^2))</f>
        <v>9331314403554392</v>
      </c>
      <c r="X3">
        <f t="shared" si="11"/>
        <v>0.08185434742312564</v>
      </c>
      <c r="Y3" s="19">
        <v>32</v>
      </c>
      <c r="Z3" s="19">
        <v>5.5</v>
      </c>
      <c r="AA3" s="20">
        <f t="shared" si="12"/>
        <v>17.9</v>
      </c>
      <c r="AB3" s="20">
        <f t="shared" si="13"/>
        <v>8.1</v>
      </c>
      <c r="AC3" s="20">
        <f t="shared" si="14"/>
        <v>3.72</v>
      </c>
      <c r="AD3" s="20">
        <f t="shared" si="15"/>
        <v>4.5</v>
      </c>
      <c r="AE3" s="20">
        <f t="shared" si="16"/>
        <v>0.233</v>
      </c>
      <c r="AF3" s="17">
        <f>(AE3*1000)/((3.1415/6)*1000*('[1]PM number'!$D$20*0.000000001)^3*EXP(4.5*1.8^2))</f>
        <v>24404283357445228</v>
      </c>
      <c r="AG3" s="17">
        <f t="shared" si="17"/>
        <v>0.054386532310259986</v>
      </c>
      <c r="AH3" s="21">
        <f t="shared" si="18"/>
        <v>79.8</v>
      </c>
      <c r="AI3" s="21">
        <f t="shared" si="19"/>
        <v>693.9</v>
      </c>
      <c r="AJ3" s="21">
        <f t="shared" si="20"/>
        <v>514.1</v>
      </c>
      <c r="AK3" s="21">
        <f t="shared" si="21"/>
        <v>644.8</v>
      </c>
      <c r="AL3" s="21">
        <f t="shared" si="22"/>
        <v>19.9</v>
      </c>
      <c r="AM3" s="21">
        <f t="shared" si="23"/>
        <v>47975941186872770</v>
      </c>
      <c r="AN3" s="19">
        <v>1</v>
      </c>
      <c r="AO3" s="19">
        <v>62</v>
      </c>
      <c r="AP3" s="22">
        <f t="shared" si="24"/>
        <v>0.07842772393452686</v>
      </c>
      <c r="AQ3" s="22">
        <f t="shared" si="25"/>
        <v>11.8</v>
      </c>
      <c r="AR3" s="22">
        <f t="shared" si="26"/>
        <v>1.82</v>
      </c>
      <c r="AS3" s="22">
        <f t="shared" si="27"/>
        <v>2.2</v>
      </c>
      <c r="AT3" s="22">
        <f t="shared" si="28"/>
        <v>0.319</v>
      </c>
      <c r="AU3" s="23">
        <f t="shared" si="29"/>
        <v>564.7</v>
      </c>
      <c r="AV3" s="23">
        <f t="shared" si="30"/>
        <v>6.66</v>
      </c>
      <c r="AW3" s="23">
        <f t="shared" si="31"/>
        <v>1.03</v>
      </c>
      <c r="AX3" s="23">
        <f t="shared" si="32"/>
        <v>1.24</v>
      </c>
      <c r="AY3" s="23">
        <f t="shared" si="33"/>
        <v>180.1</v>
      </c>
      <c r="AZ3" s="23">
        <f>(AY3*1000)/((3.1415/6)*1000*('[1]PM number'!$F$16*0.000000001)^3*EXP(4.5*1.8^2))</f>
        <v>3.2933338623695206E+18</v>
      </c>
    </row>
    <row r="4" spans="1:52" ht="25.5">
      <c r="A4" s="24" t="s">
        <v>60</v>
      </c>
      <c r="B4" s="25" t="s">
        <v>61</v>
      </c>
      <c r="C4" s="24" t="s">
        <v>62</v>
      </c>
      <c r="D4" s="24" t="s">
        <v>63</v>
      </c>
      <c r="E4" s="26">
        <v>2740</v>
      </c>
      <c r="F4" s="26">
        <v>2</v>
      </c>
      <c r="G4" s="27">
        <v>6</v>
      </c>
      <c r="H4" s="28">
        <v>5</v>
      </c>
      <c r="I4" s="17">
        <f t="shared" si="0"/>
        <v>8.6</v>
      </c>
      <c r="J4" s="17">
        <f t="shared" si="1"/>
        <v>3.8</v>
      </c>
      <c r="K4" s="17">
        <f t="shared" si="2"/>
        <v>15.44</v>
      </c>
      <c r="L4" s="17">
        <f t="shared" si="3"/>
        <v>19.6</v>
      </c>
      <c r="M4" s="18">
        <f t="shared" si="4"/>
        <v>0.028527650056184704</v>
      </c>
      <c r="N4" s="17">
        <f t="shared" si="5"/>
        <v>0.143</v>
      </c>
      <c r="O4" s="17">
        <f>(N4*1000)/((3.1415/6)*1000*('[1]PM number'!C20*0.000000001)^3*EXP(4.5*1.8^2))</f>
        <v>15427038711362570</v>
      </c>
      <c r="P4" s="19">
        <v>66</v>
      </c>
      <c r="Q4" s="19">
        <v>3</v>
      </c>
      <c r="R4" s="20">
        <f t="shared" si="6"/>
        <v>19.3</v>
      </c>
      <c r="S4" s="20">
        <f t="shared" si="7"/>
        <v>14.9</v>
      </c>
      <c r="T4" s="20">
        <f t="shared" si="8"/>
        <v>1.16</v>
      </c>
      <c r="U4" s="20">
        <f t="shared" si="9"/>
        <v>1.4</v>
      </c>
      <c r="V4" s="20">
        <f t="shared" si="10"/>
        <v>0.377</v>
      </c>
      <c r="W4" s="17">
        <f>(V4*1000)/((3.1415/6)*1000*('[1]PM number'!$E$20*0.000000001)^3*EXP(4.5*1.8^2))</f>
        <v>10725321738231726</v>
      </c>
      <c r="X4">
        <f t="shared" si="11"/>
        <v>0.10728506256040839</v>
      </c>
      <c r="Y4" s="19">
        <v>32</v>
      </c>
      <c r="Z4" s="19">
        <v>5.5</v>
      </c>
      <c r="AA4" s="20">
        <f t="shared" si="12"/>
        <v>21.5</v>
      </c>
      <c r="AB4" s="20">
        <f t="shared" si="13"/>
        <v>9.9</v>
      </c>
      <c r="AC4" s="20">
        <f t="shared" si="14"/>
        <v>2.53</v>
      </c>
      <c r="AD4" s="20">
        <f t="shared" si="15"/>
        <v>3.1</v>
      </c>
      <c r="AE4" s="20">
        <f t="shared" si="16"/>
        <v>0.276</v>
      </c>
      <c r="AF4" s="17">
        <f>(AE4*1000)/((3.1415/6)*1000*('[1]PM number'!$D$20*0.000000001)^3*EXP(4.5*1.8^2))</f>
        <v>28908078140149710</v>
      </c>
      <c r="AG4" s="17">
        <f t="shared" si="17"/>
        <v>0.06520839954285058</v>
      </c>
      <c r="AH4" s="21">
        <f t="shared" si="18"/>
        <v>98.8</v>
      </c>
      <c r="AI4" s="21">
        <f t="shared" si="19"/>
        <v>1066.2</v>
      </c>
      <c r="AJ4" s="21">
        <f t="shared" si="20"/>
        <v>419.1</v>
      </c>
      <c r="AK4" s="21">
        <f t="shared" si="21"/>
        <v>524.5</v>
      </c>
      <c r="AL4" s="21">
        <f t="shared" si="22"/>
        <v>28.9</v>
      </c>
      <c r="AM4" s="21">
        <f t="shared" si="23"/>
        <v>55060438589744010</v>
      </c>
      <c r="AN4" s="19">
        <v>1</v>
      </c>
      <c r="AO4" s="19">
        <v>62</v>
      </c>
      <c r="AP4" s="22">
        <f t="shared" si="24"/>
        <v>0.10209429439062188</v>
      </c>
      <c r="AQ4" s="22">
        <f t="shared" si="25"/>
        <v>14.4</v>
      </c>
      <c r="AR4" s="22">
        <f t="shared" si="26"/>
        <v>1.24</v>
      </c>
      <c r="AS4" s="22">
        <f t="shared" si="27"/>
        <v>1.5</v>
      </c>
      <c r="AT4" s="22">
        <f t="shared" si="28"/>
        <v>0.369</v>
      </c>
      <c r="AU4" s="23">
        <f t="shared" si="29"/>
        <v>735.1</v>
      </c>
      <c r="AV4" s="23">
        <f t="shared" si="30"/>
        <v>10.59</v>
      </c>
      <c r="AW4" s="23">
        <f t="shared" si="31"/>
        <v>0.91</v>
      </c>
      <c r="AX4" s="23">
        <f t="shared" si="32"/>
        <v>1.1</v>
      </c>
      <c r="AY4" s="23">
        <f t="shared" si="33"/>
        <v>271.2</v>
      </c>
      <c r="AZ4" s="23">
        <f>(AY4*1000)/((3.1415/6)*1000*('[1]PM number'!$F$16*0.000000001)^3*EXP(4.5*1.8^2))</f>
        <v>4.959201240836279E+18</v>
      </c>
    </row>
    <row r="5" spans="1:52" ht="38.25">
      <c r="A5" s="24" t="s">
        <v>64</v>
      </c>
      <c r="B5" s="29" t="s">
        <v>65</v>
      </c>
      <c r="C5" s="30" t="s">
        <v>66</v>
      </c>
      <c r="D5" s="24" t="s">
        <v>67</v>
      </c>
      <c r="E5" s="26">
        <v>1120</v>
      </c>
      <c r="F5" s="26">
        <v>2</v>
      </c>
      <c r="G5" s="27">
        <v>6</v>
      </c>
      <c r="H5" s="28">
        <v>5</v>
      </c>
      <c r="I5" s="17">
        <f t="shared" si="0"/>
        <v>5.9</v>
      </c>
      <c r="J5" s="17">
        <f t="shared" si="1"/>
        <v>2.3</v>
      </c>
      <c r="K5" s="17">
        <f t="shared" si="2"/>
        <v>40.57</v>
      </c>
      <c r="L5" s="17">
        <f t="shared" si="3"/>
        <v>53</v>
      </c>
      <c r="M5" s="18">
        <f t="shared" si="4"/>
        <v>0.01975023215514456</v>
      </c>
      <c r="N5" s="17">
        <f t="shared" si="5"/>
        <v>0.121</v>
      </c>
      <c r="O5" s="17">
        <f>(N5*1000)/((3.1415/6)*1000*('[1]PM number'!C20*0.000000001)^3*EXP(4.5*1.8^2))</f>
        <v>13053648140383712</v>
      </c>
      <c r="P5" s="19">
        <v>66</v>
      </c>
      <c r="Q5" s="19">
        <v>3</v>
      </c>
      <c r="R5" s="20">
        <f t="shared" si="6"/>
        <v>10.7</v>
      </c>
      <c r="S5" s="20">
        <f t="shared" si="7"/>
        <v>9</v>
      </c>
      <c r="T5" s="20">
        <f t="shared" si="8"/>
        <v>3.04</v>
      </c>
      <c r="U5" s="20">
        <f t="shared" si="9"/>
        <v>3.7</v>
      </c>
      <c r="V5" s="20">
        <f t="shared" si="10"/>
        <v>0.254</v>
      </c>
      <c r="W5" s="17">
        <f>(V5*1000)/((3.1415/6)*1000*('[1]PM number'!$E$20*0.000000001)^3*EXP(4.5*1.8^2))</f>
        <v>7226078836898828</v>
      </c>
      <c r="X5">
        <f t="shared" si="11"/>
        <v>0.05961411960970514</v>
      </c>
      <c r="Y5" s="19">
        <v>32</v>
      </c>
      <c r="Z5" s="19">
        <v>5.5</v>
      </c>
      <c r="AA5" s="20">
        <f t="shared" si="12"/>
        <v>13.8</v>
      </c>
      <c r="AB5" s="20">
        <f t="shared" si="13"/>
        <v>6</v>
      </c>
      <c r="AC5" s="20">
        <f t="shared" si="14"/>
        <v>6.65</v>
      </c>
      <c r="AD5" s="20">
        <f t="shared" si="15"/>
        <v>8.3</v>
      </c>
      <c r="AE5" s="20">
        <f t="shared" si="16"/>
        <v>0.184</v>
      </c>
      <c r="AF5" s="17">
        <f>(AE5*1000)/((3.1415/6)*1000*('[1]PM number'!$D$20*0.000000001)^3*EXP(4.5*1.8^2))</f>
        <v>19272052093433140</v>
      </c>
      <c r="AG5" s="17">
        <f t="shared" si="17"/>
        <v>0.04181700887473994</v>
      </c>
      <c r="AH5" s="21">
        <f t="shared" si="18"/>
        <v>60.8</v>
      </c>
      <c r="AI5" s="21">
        <f t="shared" si="19"/>
        <v>385.3</v>
      </c>
      <c r="AJ5" s="21">
        <f t="shared" si="20"/>
        <v>727.3</v>
      </c>
      <c r="AK5" s="21">
        <f t="shared" si="21"/>
        <v>933.7</v>
      </c>
      <c r="AL5" s="21">
        <f t="shared" si="22"/>
        <v>11.9</v>
      </c>
      <c r="AM5" s="21">
        <f t="shared" si="23"/>
        <v>39551779070715680</v>
      </c>
      <c r="AN5" s="19">
        <v>1</v>
      </c>
      <c r="AO5" s="19">
        <v>62</v>
      </c>
      <c r="AP5" s="22">
        <f t="shared" si="24"/>
        <v>0.057768311804878535</v>
      </c>
      <c r="AQ5" s="22">
        <f t="shared" si="25"/>
        <v>8.7</v>
      </c>
      <c r="AR5" s="22">
        <f t="shared" si="26"/>
        <v>3.26</v>
      </c>
      <c r="AS5" s="22">
        <f t="shared" si="27"/>
        <v>4</v>
      </c>
      <c r="AT5" s="22">
        <f t="shared" si="28"/>
        <v>0.247</v>
      </c>
      <c r="AU5" s="23">
        <f t="shared" si="29"/>
        <v>415.9</v>
      </c>
      <c r="AV5" s="23">
        <f t="shared" si="30"/>
        <v>3.62</v>
      </c>
      <c r="AW5" s="23">
        <f t="shared" si="31"/>
        <v>1.36</v>
      </c>
      <c r="AX5" s="23">
        <f t="shared" si="32"/>
        <v>1.66</v>
      </c>
      <c r="AY5" s="23">
        <f t="shared" si="33"/>
        <v>102.7</v>
      </c>
      <c r="AZ5" s="23">
        <f>(AY5*1000)/((3.1415/6)*1000*('[1]PM number'!$F$16*0.000000001)^3*EXP(4.5*1.8^2))</f>
        <v>1.8779866055821752E+18</v>
      </c>
    </row>
    <row r="6" spans="1:52" ht="25.5">
      <c r="A6" s="24" t="s">
        <v>68</v>
      </c>
      <c r="B6" s="25"/>
      <c r="C6" s="24" t="s">
        <v>69</v>
      </c>
      <c r="D6" s="24" t="s">
        <v>70</v>
      </c>
      <c r="E6" s="26">
        <v>1350</v>
      </c>
      <c r="F6" s="26">
        <v>2</v>
      </c>
      <c r="G6" s="27">
        <v>6</v>
      </c>
      <c r="H6" s="28">
        <v>5</v>
      </c>
      <c r="I6" s="17">
        <f t="shared" si="0"/>
        <v>6.3</v>
      </c>
      <c r="J6" s="17">
        <f t="shared" si="1"/>
        <v>2.6</v>
      </c>
      <c r="K6" s="17">
        <f t="shared" si="2"/>
        <v>33.16</v>
      </c>
      <c r="L6" s="17">
        <f t="shared" si="3"/>
        <v>43.1</v>
      </c>
      <c r="M6" s="18">
        <f t="shared" si="4"/>
        <v>0.0211055962232664</v>
      </c>
      <c r="N6" s="17">
        <f t="shared" si="5"/>
        <v>0.124</v>
      </c>
      <c r="O6" s="17">
        <f>(N6*1000)/((3.1415/6)*1000*('[1]PM number'!C20*0.000000001)^3*EXP(4.5*1.8^2))</f>
        <v>13377292309153556</v>
      </c>
      <c r="P6" s="19">
        <v>66</v>
      </c>
      <c r="Q6" s="19">
        <v>3</v>
      </c>
      <c r="R6" s="20">
        <f t="shared" si="6"/>
        <v>11.8</v>
      </c>
      <c r="S6" s="20">
        <f t="shared" si="7"/>
        <v>10</v>
      </c>
      <c r="T6" s="20">
        <f t="shared" si="8"/>
        <v>2.49</v>
      </c>
      <c r="U6" s="20">
        <f t="shared" si="9"/>
        <v>3</v>
      </c>
      <c r="V6" s="20">
        <f t="shared" si="10"/>
        <v>0.278</v>
      </c>
      <c r="W6" s="17">
        <f>(V6*1000)/((3.1415/6)*1000*('[1]PM number'!$E$20*0.000000001)^3*EXP(4.5*1.8^2))</f>
        <v>7908857939597930</v>
      </c>
      <c r="X6">
        <f t="shared" si="11"/>
        <v>0.06578641836076991</v>
      </c>
      <c r="Y6" s="19">
        <v>32</v>
      </c>
      <c r="Z6" s="19">
        <v>5.5</v>
      </c>
      <c r="AA6" s="20">
        <f t="shared" si="12"/>
        <v>15.1</v>
      </c>
      <c r="AB6" s="20">
        <f t="shared" si="13"/>
        <v>6.6</v>
      </c>
      <c r="AC6" s="20">
        <f t="shared" si="14"/>
        <v>5.44</v>
      </c>
      <c r="AD6" s="20">
        <f t="shared" si="15"/>
        <v>6.7</v>
      </c>
      <c r="AE6" s="20">
        <f t="shared" si="16"/>
        <v>0.199</v>
      </c>
      <c r="AF6" s="17">
        <f>(AE6*1000)/((3.1415/6)*1000*('[1]PM number'!$D$20*0.000000001)^3*EXP(4.5*1.8^2))</f>
        <v>20843143296702148</v>
      </c>
      <c r="AG6" s="17">
        <f t="shared" si="17"/>
        <v>0.045833880506603725</v>
      </c>
      <c r="AH6" s="21">
        <f t="shared" si="18"/>
        <v>66.4</v>
      </c>
      <c r="AI6" s="21">
        <f t="shared" si="19"/>
        <v>468.1</v>
      </c>
      <c r="AJ6" s="21">
        <f t="shared" si="20"/>
        <v>640.9</v>
      </c>
      <c r="AK6" s="21">
        <f t="shared" si="21"/>
        <v>816.2</v>
      </c>
      <c r="AL6" s="21">
        <f t="shared" si="22"/>
        <v>14.1</v>
      </c>
      <c r="AM6" s="21">
        <f t="shared" si="23"/>
        <v>42129293545453630</v>
      </c>
      <c r="AN6" s="19">
        <v>1</v>
      </c>
      <c r="AO6" s="19">
        <v>62</v>
      </c>
      <c r="AP6" s="22">
        <f t="shared" si="24"/>
        <v>0.0635921038912448</v>
      </c>
      <c r="AQ6" s="22">
        <f t="shared" si="25"/>
        <v>9.6</v>
      </c>
      <c r="AR6" s="22">
        <f t="shared" si="26"/>
        <v>2.66</v>
      </c>
      <c r="AS6" s="22">
        <f t="shared" si="27"/>
        <v>3.2</v>
      </c>
      <c r="AT6" s="22">
        <f t="shared" si="28"/>
        <v>0.27</v>
      </c>
      <c r="AU6" s="23">
        <f t="shared" si="29"/>
        <v>457.9</v>
      </c>
      <c r="AV6" s="23">
        <f t="shared" si="30"/>
        <v>4.4</v>
      </c>
      <c r="AW6" s="23">
        <f t="shared" si="31"/>
        <v>1.22</v>
      </c>
      <c r="AX6" s="23">
        <f t="shared" si="32"/>
        <v>1.47</v>
      </c>
      <c r="AY6" s="23">
        <f t="shared" si="33"/>
        <v>123.6</v>
      </c>
      <c r="AZ6" s="23">
        <f>(AY6*1000)/((3.1415/6)*1000*('[1]PM number'!$F$16*0.000000001)^3*EXP(4.5*1.8^2))</f>
        <v>2.2601669371952957E+18</v>
      </c>
    </row>
    <row r="7" spans="1:52" ht="25.5">
      <c r="A7" s="24" t="s">
        <v>71</v>
      </c>
      <c r="B7" s="25" t="s">
        <v>72</v>
      </c>
      <c r="C7" s="30" t="s">
        <v>73</v>
      </c>
      <c r="D7" s="24" t="s">
        <v>74</v>
      </c>
      <c r="E7" s="26">
        <v>1877</v>
      </c>
      <c r="F7" s="26">
        <v>2</v>
      </c>
      <c r="G7" s="27">
        <v>6</v>
      </c>
      <c r="H7" s="28">
        <v>5</v>
      </c>
      <c r="I7" s="17">
        <f t="shared" si="0"/>
        <v>7.2</v>
      </c>
      <c r="J7" s="17">
        <f t="shared" si="1"/>
        <v>3.1</v>
      </c>
      <c r="K7" s="17">
        <f t="shared" si="2"/>
        <v>23.23</v>
      </c>
      <c r="L7" s="17">
        <f t="shared" si="3"/>
        <v>29.9</v>
      </c>
      <c r="M7" s="18">
        <f t="shared" si="4"/>
        <v>0.024069014968247412</v>
      </c>
      <c r="N7" s="17">
        <f t="shared" si="5"/>
        <v>0.132</v>
      </c>
      <c r="O7" s="17">
        <f>(N7*1000)/((3.1415/6)*1000*('[1]PM number'!C20*0.000000001)^3*EXP(4.5*1.8^2))</f>
        <v>14240343425873142</v>
      </c>
      <c r="P7" s="19">
        <v>66</v>
      </c>
      <c r="Q7" s="19">
        <v>3</v>
      </c>
      <c r="R7" s="20">
        <f t="shared" si="6"/>
        <v>14.5</v>
      </c>
      <c r="S7" s="20">
        <f t="shared" si="7"/>
        <v>12</v>
      </c>
      <c r="T7" s="20">
        <f t="shared" si="8"/>
        <v>1.74</v>
      </c>
      <c r="U7" s="20">
        <f t="shared" si="9"/>
        <v>2.1</v>
      </c>
      <c r="V7" s="20">
        <f t="shared" si="10"/>
        <v>0.325</v>
      </c>
      <c r="W7" s="17">
        <f>(V7*1000)/((3.1415/6)*1000*('[1]PM number'!E20*0.000000001)^3*EXP(4.5*1.8^2))</f>
        <v>9245967015717004</v>
      </c>
      <c r="X7" s="31">
        <f t="shared" si="11"/>
        <v>0.08057911872500313</v>
      </c>
      <c r="Y7" s="19">
        <v>32</v>
      </c>
      <c r="Z7" s="19">
        <v>5.5</v>
      </c>
      <c r="AA7" s="20">
        <f t="shared" si="12"/>
        <v>17.8</v>
      </c>
      <c r="AB7" s="20">
        <f t="shared" si="13"/>
        <v>8</v>
      </c>
      <c r="AC7" s="20">
        <f t="shared" si="14"/>
        <v>3.81</v>
      </c>
      <c r="AD7" s="20">
        <f t="shared" si="15"/>
        <v>4.7</v>
      </c>
      <c r="AE7" s="20">
        <f t="shared" si="16"/>
        <v>0.23</v>
      </c>
      <c r="AF7" s="17">
        <f>(AE7*1000)/((3.1415/6)*1000*('[1]PM number'!D20*0.000000001)^3*EXP(4.5*1.8^2))</f>
        <v>24090065116791424</v>
      </c>
      <c r="AG7" s="17">
        <f t="shared" si="17"/>
        <v>0.053789124971198685</v>
      </c>
      <c r="AH7" s="21">
        <f t="shared" si="18"/>
        <v>79</v>
      </c>
      <c r="AI7" s="21">
        <f t="shared" si="19"/>
        <v>677.4</v>
      </c>
      <c r="AJ7" s="21">
        <f t="shared" si="20"/>
        <v>520.6</v>
      </c>
      <c r="AK7" s="21">
        <f t="shared" si="21"/>
        <v>658.8</v>
      </c>
      <c r="AL7" s="21">
        <f t="shared" si="22"/>
        <v>19.5</v>
      </c>
      <c r="AM7" s="21">
        <f t="shared" si="23"/>
        <v>47576375558381570</v>
      </c>
      <c r="AN7" s="19">
        <v>1</v>
      </c>
      <c r="AO7" s="19">
        <v>62</v>
      </c>
      <c r="AP7" s="22">
        <f t="shared" si="24"/>
        <v>0.0772566229265895</v>
      </c>
      <c r="AQ7" s="22">
        <f t="shared" si="25"/>
        <v>11.6</v>
      </c>
      <c r="AR7" s="22">
        <f t="shared" si="26"/>
        <v>1.86</v>
      </c>
      <c r="AS7" s="22">
        <f t="shared" si="27"/>
        <v>2.2</v>
      </c>
      <c r="AT7" s="22">
        <f t="shared" si="28"/>
        <v>0.316</v>
      </c>
      <c r="AU7" s="23">
        <f t="shared" si="29"/>
        <v>556.2</v>
      </c>
      <c r="AV7" s="23">
        <f t="shared" si="30"/>
        <v>6.45</v>
      </c>
      <c r="AW7" s="23">
        <f t="shared" si="31"/>
        <v>1.03</v>
      </c>
      <c r="AX7" s="23">
        <f t="shared" si="32"/>
        <v>1.22</v>
      </c>
      <c r="AY7" s="23">
        <f t="shared" si="33"/>
        <v>175.8</v>
      </c>
      <c r="AZ7" s="23">
        <f>(AY7*1000)/((3.1415/6)*1000*('[1]PM number'!$F$16*0.000000001)^3*EXP(4.5*1.8^2))</f>
        <v>3.2147034592146683E+18</v>
      </c>
    </row>
    <row r="8" spans="1:52" ht="51">
      <c r="A8" s="24" t="s">
        <v>71</v>
      </c>
      <c r="B8" s="25" t="s">
        <v>75</v>
      </c>
      <c r="C8" s="24" t="s">
        <v>76</v>
      </c>
      <c r="D8" s="32" t="s">
        <v>74</v>
      </c>
      <c r="E8" s="26">
        <v>1877</v>
      </c>
      <c r="F8" s="26">
        <v>2</v>
      </c>
      <c r="G8" s="27">
        <v>6</v>
      </c>
      <c r="H8" s="28">
        <v>5</v>
      </c>
      <c r="I8" s="17">
        <f t="shared" si="0"/>
        <v>7.2</v>
      </c>
      <c r="J8" s="17">
        <f t="shared" si="1"/>
        <v>3.1</v>
      </c>
      <c r="K8" s="17">
        <f t="shared" si="2"/>
        <v>23.23</v>
      </c>
      <c r="L8" s="17">
        <f t="shared" si="3"/>
        <v>29.9</v>
      </c>
      <c r="M8" s="18">
        <f t="shared" si="4"/>
        <v>0.024069014968247412</v>
      </c>
      <c r="N8" s="17">
        <f t="shared" si="5"/>
        <v>0.132</v>
      </c>
      <c r="O8" s="17">
        <f>(N8*1000)/((3.1415/6)*1000*('[1]PM number'!C20*0.000000001)^3*EXP(4.5*1.8^2))</f>
        <v>14240343425873142</v>
      </c>
      <c r="P8" s="19">
        <v>66</v>
      </c>
      <c r="Q8" s="19">
        <v>3</v>
      </c>
      <c r="R8" s="20">
        <f t="shared" si="6"/>
        <v>14.5</v>
      </c>
      <c r="S8" s="20">
        <f t="shared" si="7"/>
        <v>12</v>
      </c>
      <c r="T8" s="20">
        <f t="shared" si="8"/>
        <v>1.74</v>
      </c>
      <c r="U8" s="20">
        <f t="shared" si="9"/>
        <v>2.1</v>
      </c>
      <c r="V8" s="20">
        <f t="shared" si="10"/>
        <v>0.325</v>
      </c>
      <c r="W8" s="17">
        <f>(V8*1000)/((3.1415/6)*1000*('[1]PM number'!E20*0.000000001)^3*EXP(4.5*1.8^2))</f>
        <v>9245967015717004</v>
      </c>
      <c r="X8" s="31">
        <f t="shared" si="11"/>
        <v>0.08057911872500313</v>
      </c>
      <c r="Y8" s="19">
        <v>32</v>
      </c>
      <c r="Z8" s="19">
        <v>5.5</v>
      </c>
      <c r="AA8" s="20">
        <f t="shared" si="12"/>
        <v>17.8</v>
      </c>
      <c r="AB8" s="20">
        <f t="shared" si="13"/>
        <v>8</v>
      </c>
      <c r="AC8" s="20">
        <f t="shared" si="14"/>
        <v>3.81</v>
      </c>
      <c r="AD8" s="20">
        <f t="shared" si="15"/>
        <v>4.7</v>
      </c>
      <c r="AE8" s="20">
        <f t="shared" si="16"/>
        <v>0.23</v>
      </c>
      <c r="AF8" s="17">
        <f>(AE8*1000)/((3.1415/6)*1000*('[1]PM number'!D20*0.000000001)^3*EXP(4.5*1.8^2))</f>
        <v>24090065116791424</v>
      </c>
      <c r="AG8" s="17">
        <f t="shared" si="17"/>
        <v>0.053789124971198685</v>
      </c>
      <c r="AH8" s="21">
        <f t="shared" si="18"/>
        <v>79</v>
      </c>
      <c r="AI8" s="21">
        <f t="shared" si="19"/>
        <v>677.4</v>
      </c>
      <c r="AJ8" s="21">
        <f t="shared" si="20"/>
        <v>520.6</v>
      </c>
      <c r="AK8" s="21">
        <f t="shared" si="21"/>
        <v>658.8</v>
      </c>
      <c r="AL8" s="21">
        <f t="shared" si="22"/>
        <v>19.5</v>
      </c>
      <c r="AM8" s="21">
        <f t="shared" si="23"/>
        <v>47576375558381570</v>
      </c>
      <c r="AN8" s="19">
        <v>1</v>
      </c>
      <c r="AO8" s="19">
        <v>62</v>
      </c>
      <c r="AP8" s="22">
        <f t="shared" si="24"/>
        <v>0.0772566229265895</v>
      </c>
      <c r="AQ8" s="22">
        <f t="shared" si="25"/>
        <v>11.6</v>
      </c>
      <c r="AR8" s="22">
        <f t="shared" si="26"/>
        <v>1.86</v>
      </c>
      <c r="AS8" s="22">
        <f t="shared" si="27"/>
        <v>2.2</v>
      </c>
      <c r="AT8" s="22">
        <f t="shared" si="28"/>
        <v>0.316</v>
      </c>
      <c r="AU8" s="23">
        <f t="shared" si="29"/>
        <v>556.2</v>
      </c>
      <c r="AV8" s="23">
        <f t="shared" si="30"/>
        <v>6.45</v>
      </c>
      <c r="AW8" s="23">
        <f t="shared" si="31"/>
        <v>1.03</v>
      </c>
      <c r="AX8" s="23">
        <f t="shared" si="32"/>
        <v>1.22</v>
      </c>
      <c r="AY8" s="23">
        <f t="shared" si="33"/>
        <v>175.8</v>
      </c>
      <c r="AZ8" s="23">
        <f>(AY8*1000)/((3.1415/6)*1000*('[1]PM number'!$F$16*0.000000001)^3*EXP(4.5*1.8^2))</f>
        <v>3.2147034592146683E+18</v>
      </c>
    </row>
    <row r="9" spans="1:52" ht="25.5">
      <c r="A9" s="24" t="s">
        <v>77</v>
      </c>
      <c r="B9" s="25" t="s">
        <v>78</v>
      </c>
      <c r="C9" s="24" t="s">
        <v>79</v>
      </c>
      <c r="D9" s="24" t="s">
        <v>80</v>
      </c>
      <c r="E9" s="26">
        <v>400</v>
      </c>
      <c r="F9" s="26">
        <v>2</v>
      </c>
      <c r="G9" s="27">
        <v>6</v>
      </c>
      <c r="H9" s="28">
        <v>5</v>
      </c>
      <c r="I9" s="17">
        <f t="shared" si="0"/>
        <v>2.9</v>
      </c>
      <c r="J9" s="17">
        <f t="shared" si="1"/>
        <v>1.3</v>
      </c>
      <c r="K9" s="17">
        <f t="shared" si="2"/>
        <v>123.36</v>
      </c>
      <c r="L9" s="17">
        <f t="shared" si="3"/>
        <v>166.3</v>
      </c>
      <c r="M9" s="18">
        <f t="shared" si="4"/>
        <v>0.009723283387363328</v>
      </c>
      <c r="N9" s="17">
        <f t="shared" si="5"/>
        <v>0.111</v>
      </c>
      <c r="O9" s="17">
        <f>(N9*1000)/((3.1415/6)*1000*('[1]PM number'!C20*0.000000001)^3*EXP(4.5*1.8^2))</f>
        <v>11974834244484232</v>
      </c>
      <c r="P9" s="19">
        <v>66</v>
      </c>
      <c r="Q9" s="19">
        <v>3</v>
      </c>
      <c r="R9" s="20">
        <f t="shared" si="6"/>
        <v>5</v>
      </c>
      <c r="S9" s="20">
        <f t="shared" si="7"/>
        <v>5</v>
      </c>
      <c r="T9" s="20">
        <f t="shared" si="8"/>
        <v>9.25</v>
      </c>
      <c r="U9" s="20">
        <f t="shared" si="9"/>
        <v>11.6</v>
      </c>
      <c r="V9" s="20">
        <f t="shared" si="10"/>
        <v>0.165</v>
      </c>
      <c r="W9" s="17">
        <f>(V9*1000)/((3.1415/6)*1000*('[1]PM number'!$E$20*0.000000001)^3*EXP(4.5*1.8^2))</f>
        <v>4694106331056326</v>
      </c>
      <c r="X9">
        <f t="shared" si="11"/>
        <v>0.02788748732679373</v>
      </c>
      <c r="Y9" s="19">
        <v>32</v>
      </c>
      <c r="Z9" s="19">
        <v>5.5</v>
      </c>
      <c r="AA9" s="20">
        <f t="shared" si="12"/>
        <v>7.1</v>
      </c>
      <c r="AB9" s="20">
        <f t="shared" si="13"/>
        <v>3.3</v>
      </c>
      <c r="AC9" s="20">
        <f t="shared" si="14"/>
        <v>20.23</v>
      </c>
      <c r="AD9" s="20">
        <f t="shared" si="15"/>
        <v>25.9</v>
      </c>
      <c r="AE9" s="20">
        <f t="shared" si="16"/>
        <v>0.135</v>
      </c>
      <c r="AF9" s="17">
        <f>(AE9*1000)/((3.1415/6)*1000*('[1]PM number'!$D$20*0.000000001)^3*EXP(4.5*1.8^2))</f>
        <v>14139820829421054</v>
      </c>
      <c r="AG9" s="17">
        <f t="shared" si="17"/>
        <v>0.0216517726967849</v>
      </c>
      <c r="AH9" s="21">
        <f t="shared" si="18"/>
        <v>30</v>
      </c>
      <c r="AI9" s="21">
        <f t="shared" si="19"/>
        <v>104.4</v>
      </c>
      <c r="AJ9" s="21">
        <f t="shared" si="20"/>
        <v>1095.3</v>
      </c>
      <c r="AK9" s="21">
        <f t="shared" si="21"/>
        <v>1448.3</v>
      </c>
      <c r="AL9" s="21">
        <f t="shared" si="22"/>
        <v>4.2</v>
      </c>
      <c r="AM9" s="21">
        <f t="shared" si="23"/>
        <v>30808761404961612</v>
      </c>
      <c r="AN9" s="19">
        <v>1</v>
      </c>
      <c r="AO9" s="19">
        <v>62</v>
      </c>
      <c r="AP9" s="22">
        <f t="shared" si="24"/>
        <v>0.0272242457241641</v>
      </c>
      <c r="AQ9" s="22">
        <f t="shared" si="25"/>
        <v>4.8</v>
      </c>
      <c r="AR9" s="22">
        <f t="shared" si="26"/>
        <v>9.9</v>
      </c>
      <c r="AS9" s="22">
        <f t="shared" si="27"/>
        <v>12.4</v>
      </c>
      <c r="AT9" s="22">
        <f t="shared" si="28"/>
        <v>0.161</v>
      </c>
      <c r="AU9" s="23">
        <f t="shared" si="29"/>
        <v>196</v>
      </c>
      <c r="AV9" s="23">
        <f t="shared" si="30"/>
        <v>0.94</v>
      </c>
      <c r="AW9" s="23">
        <f t="shared" si="31"/>
        <v>1.94</v>
      </c>
      <c r="AX9" s="23">
        <f t="shared" si="32"/>
        <v>2.43</v>
      </c>
      <c r="AY9" s="23">
        <f t="shared" si="33"/>
        <v>31.6</v>
      </c>
      <c r="AZ9" s="23">
        <f>(AY9*1000)/((3.1415/6)*1000*('[1]PM number'!$F$16*0.000000001)^3*EXP(4.5*1.8^2))</f>
        <v>5.778420324868232E+17</v>
      </c>
    </row>
    <row r="10" spans="1:52" ht="25.5">
      <c r="A10" s="24" t="s">
        <v>77</v>
      </c>
      <c r="B10" s="29" t="s">
        <v>81</v>
      </c>
      <c r="C10" s="30" t="s">
        <v>79</v>
      </c>
      <c r="D10" s="24" t="s">
        <v>82</v>
      </c>
      <c r="E10" s="26">
        <v>394</v>
      </c>
      <c r="F10" s="26">
        <v>2</v>
      </c>
      <c r="G10" s="27">
        <v>6</v>
      </c>
      <c r="H10" s="28">
        <v>5</v>
      </c>
      <c r="I10" s="17">
        <f t="shared" si="0"/>
        <v>2.9</v>
      </c>
      <c r="J10" s="17">
        <f t="shared" si="1"/>
        <v>1.3</v>
      </c>
      <c r="K10" s="17">
        <f t="shared" si="2"/>
        <v>125.39</v>
      </c>
      <c r="L10" s="17">
        <f t="shared" si="3"/>
        <v>169.1</v>
      </c>
      <c r="M10" s="18">
        <f t="shared" si="4"/>
        <v>0.009655185514993257</v>
      </c>
      <c r="N10" s="17">
        <f t="shared" si="5"/>
        <v>0.111</v>
      </c>
      <c r="O10" s="17">
        <f>(N10*1000)/((3.1415/6)*1000*('[1]PM number'!C20*0.000000001)^3*EXP(4.5*1.8^2))</f>
        <v>11974834244484232</v>
      </c>
      <c r="P10" s="19">
        <v>66</v>
      </c>
      <c r="Q10" s="19">
        <v>3</v>
      </c>
      <c r="R10" s="20">
        <f t="shared" si="6"/>
        <v>5</v>
      </c>
      <c r="S10" s="20">
        <f t="shared" si="7"/>
        <v>5</v>
      </c>
      <c r="T10" s="20">
        <f t="shared" si="8"/>
        <v>9.41</v>
      </c>
      <c r="U10" s="20">
        <f t="shared" si="9"/>
        <v>11.8</v>
      </c>
      <c r="V10" s="20">
        <f t="shared" si="10"/>
        <v>0.164</v>
      </c>
      <c r="W10" s="17">
        <f>(V10*1000)/((3.1415/6)*1000*('[1]PM number'!$E$20*0.000000001)^3*EXP(4.5*1.8^2))</f>
        <v>4665657201777196</v>
      </c>
      <c r="X10">
        <f t="shared" si="11"/>
        <v>0.02772163767397302</v>
      </c>
      <c r="Y10" s="19">
        <v>32</v>
      </c>
      <c r="Z10" s="19">
        <v>5.5</v>
      </c>
      <c r="AA10" s="20">
        <f t="shared" si="12"/>
        <v>7.1</v>
      </c>
      <c r="AB10" s="20">
        <f t="shared" si="13"/>
        <v>3.3</v>
      </c>
      <c r="AC10" s="20">
        <f t="shared" si="14"/>
        <v>20.56</v>
      </c>
      <c r="AD10" s="20">
        <f t="shared" si="15"/>
        <v>26.4</v>
      </c>
      <c r="AE10" s="20">
        <f t="shared" si="16"/>
        <v>0.135</v>
      </c>
      <c r="AF10" s="17">
        <f>(AE10*1000)/((3.1415/6)*1000*('[1]PM number'!$D$20*0.000000001)^3*EXP(4.5*1.8^2))</f>
        <v>14139820829421054</v>
      </c>
      <c r="AG10" s="17">
        <f t="shared" si="17"/>
        <v>0.021526896617386722</v>
      </c>
      <c r="AH10" s="21">
        <f t="shared" si="18"/>
        <v>30</v>
      </c>
      <c r="AI10" s="21">
        <f t="shared" si="19"/>
        <v>104.4</v>
      </c>
      <c r="AJ10" s="21">
        <f t="shared" si="20"/>
        <v>1113.3</v>
      </c>
      <c r="AK10" s="21">
        <f t="shared" si="21"/>
        <v>1473.7</v>
      </c>
      <c r="AL10" s="21">
        <f t="shared" si="22"/>
        <v>4.2</v>
      </c>
      <c r="AM10" s="21">
        <f t="shared" si="23"/>
        <v>30780312275682480</v>
      </c>
      <c r="AN10" s="19">
        <v>1</v>
      </c>
      <c r="AO10" s="19">
        <v>62</v>
      </c>
      <c r="AP10" s="22">
        <f t="shared" si="24"/>
        <v>0.02707228044910388</v>
      </c>
      <c r="AQ10" s="22">
        <f t="shared" si="25"/>
        <v>4.8</v>
      </c>
      <c r="AR10" s="22">
        <f t="shared" si="26"/>
        <v>10.06</v>
      </c>
      <c r="AS10" s="22">
        <f t="shared" si="27"/>
        <v>12.7</v>
      </c>
      <c r="AT10" s="22">
        <f t="shared" si="28"/>
        <v>0.161</v>
      </c>
      <c r="AU10" s="23">
        <f t="shared" si="29"/>
        <v>194.9</v>
      </c>
      <c r="AV10" s="23">
        <f t="shared" si="30"/>
        <v>0.94</v>
      </c>
      <c r="AW10" s="23">
        <f t="shared" si="31"/>
        <v>1.96</v>
      </c>
      <c r="AX10" s="23">
        <f t="shared" si="32"/>
        <v>2.48</v>
      </c>
      <c r="AY10" s="23">
        <f t="shared" si="33"/>
        <v>31.4</v>
      </c>
      <c r="AZ10" s="23">
        <f>(AY10*1000)/((3.1415/6)*1000*('[1]PM number'!$F$16*0.000000001)^3*EXP(4.5*1.8^2))</f>
        <v>5.7418480443310906E+17</v>
      </c>
    </row>
    <row r="11" spans="1:52" ht="12.75">
      <c r="A11" s="24" t="s">
        <v>83</v>
      </c>
      <c r="B11" s="25" t="s">
        <v>78</v>
      </c>
      <c r="C11" s="24" t="s">
        <v>84</v>
      </c>
      <c r="D11" s="33" t="s">
        <v>85</v>
      </c>
      <c r="E11" s="26">
        <v>11400</v>
      </c>
      <c r="F11" s="26">
        <v>2</v>
      </c>
      <c r="G11" s="27">
        <v>6</v>
      </c>
      <c r="H11" s="28">
        <v>5</v>
      </c>
      <c r="I11" s="17">
        <f t="shared" si="0"/>
        <v>17.2</v>
      </c>
      <c r="J11" s="17">
        <f t="shared" si="1"/>
        <v>8.6</v>
      </c>
      <c r="K11" s="17">
        <f t="shared" si="2"/>
        <v>3.31</v>
      </c>
      <c r="L11" s="17">
        <f t="shared" si="3"/>
        <v>4</v>
      </c>
      <c r="M11" s="18">
        <f t="shared" si="4"/>
        <v>0.05733587627526966</v>
      </c>
      <c r="N11" s="17">
        <f t="shared" si="5"/>
        <v>0.245</v>
      </c>
      <c r="O11" s="17">
        <f>(N11)/((3.1415/6)*('[1]PM number'!C20*0.000000001)^3*EXP(4.5*1.8^2))</f>
        <v>26430940449537268</v>
      </c>
      <c r="P11" s="19">
        <v>66</v>
      </c>
      <c r="Q11" s="19">
        <v>3</v>
      </c>
      <c r="R11" s="20">
        <f t="shared" si="6"/>
        <v>5328.4</v>
      </c>
      <c r="S11" s="20">
        <f t="shared" si="7"/>
        <v>33.5</v>
      </c>
      <c r="T11" s="20">
        <f t="shared" si="8"/>
        <v>0.25</v>
      </c>
      <c r="U11" s="20">
        <f t="shared" si="9"/>
        <v>0.3</v>
      </c>
      <c r="V11" s="20">
        <f>0.01</f>
        <v>0.01</v>
      </c>
      <c r="W11" s="17">
        <f>(V11*1000)/((3.1415/6)*1000*('[1]PM number'!$E$20*0.000000001)^3*EXP(4.5*1.8^2))</f>
        <v>284491292791292.44</v>
      </c>
      <c r="X11">
        <f t="shared" si="11"/>
        <v>29.601994865816717</v>
      </c>
      <c r="Y11" s="19">
        <v>32</v>
      </c>
      <c r="Z11" s="19">
        <v>5.5</v>
      </c>
      <c r="AA11" s="20">
        <f t="shared" si="12"/>
        <v>99.5</v>
      </c>
      <c r="AB11" s="20">
        <f t="shared" si="13"/>
        <v>22.2</v>
      </c>
      <c r="AC11" s="20">
        <f t="shared" si="14"/>
        <v>0.54</v>
      </c>
      <c r="AD11" s="20">
        <f t="shared" si="15"/>
        <v>0.6</v>
      </c>
      <c r="AE11" s="20">
        <f t="shared" si="16"/>
        <v>0.33</v>
      </c>
      <c r="AF11" s="17">
        <f>(AE11*1000)/((3.1415/6)*1000*('[1]PM number'!$D$20*0.000000001)^3*EXP(4.5*1.8^2))</f>
        <v>34564006471918132</v>
      </c>
      <c r="AG11" s="17">
        <f t="shared" si="17"/>
        <v>0.3014878832966998</v>
      </c>
      <c r="AH11" s="21">
        <v>268.20000000000005</v>
      </c>
      <c r="AI11" s="21">
        <v>2426.3999999999996</v>
      </c>
      <c r="AJ11" s="21">
        <f t="shared" si="20"/>
        <v>2885.5</v>
      </c>
      <c r="AK11" s="21">
        <v>1893.6</v>
      </c>
      <c r="AL11" s="21">
        <v>95.9</v>
      </c>
      <c r="AM11" s="21">
        <f t="shared" si="23"/>
        <v>61279438214246690</v>
      </c>
      <c r="AN11" s="19">
        <v>1</v>
      </c>
      <c r="AO11" s="19">
        <v>62</v>
      </c>
      <c r="AP11" s="22">
        <f t="shared" si="24"/>
        <v>19.83708980748875</v>
      </c>
      <c r="AQ11" s="22">
        <f t="shared" si="25"/>
        <v>32.4</v>
      </c>
      <c r="AR11" s="22">
        <f t="shared" si="26"/>
        <v>0.27</v>
      </c>
      <c r="AS11" s="22">
        <f t="shared" si="27"/>
        <v>0.3</v>
      </c>
      <c r="AT11" s="22">
        <v>0.01</v>
      </c>
      <c r="AU11" s="23">
        <f t="shared" si="29"/>
        <v>142827</v>
      </c>
      <c r="AV11" s="23">
        <f t="shared" si="30"/>
        <v>4627.6</v>
      </c>
      <c r="AW11" s="23">
        <f t="shared" si="31"/>
        <v>38.56</v>
      </c>
      <c r="AX11" s="23">
        <f t="shared" si="32"/>
        <v>42.85</v>
      </c>
      <c r="AY11" s="23">
        <f t="shared" si="33"/>
        <v>1428.3</v>
      </c>
      <c r="AZ11" s="23">
        <f>(AY11*1000)/((3.1415/6)*1000*('[1]PM number'!$F$16*0.000000001)^3*EXP(4.5*1.8^2))</f>
        <v>2.6118094145599033E+19</v>
      </c>
    </row>
    <row r="12" spans="1:52" ht="25.5">
      <c r="A12" s="24" t="s">
        <v>86</v>
      </c>
      <c r="B12" s="25" t="s">
        <v>87</v>
      </c>
      <c r="C12" s="24" t="s">
        <v>88</v>
      </c>
      <c r="D12" s="24" t="s">
        <v>89</v>
      </c>
      <c r="E12" s="26">
        <v>1820</v>
      </c>
      <c r="F12" s="26">
        <v>2</v>
      </c>
      <c r="G12" s="27">
        <v>6</v>
      </c>
      <c r="H12" s="28">
        <v>5</v>
      </c>
      <c r="I12" s="34">
        <f>0.026*(5*60)</f>
        <v>7.8</v>
      </c>
      <c r="J12" s="34">
        <v>2.2</v>
      </c>
      <c r="K12" s="34">
        <v>1</v>
      </c>
      <c r="L12" s="34">
        <v>16</v>
      </c>
      <c r="M12" s="35">
        <v>0.026</v>
      </c>
      <c r="N12" s="34">
        <v>0.031</v>
      </c>
      <c r="O12" s="34">
        <f>(N12*1000)/((3.1415/6)*1000*('[1]PM number'!C20*0.000000001)^3*EXP(4.5*1.8^2))</f>
        <v>3344323077288389</v>
      </c>
      <c r="P12" s="19">
        <v>66</v>
      </c>
      <c r="Q12" s="19">
        <v>3</v>
      </c>
      <c r="R12" s="20">
        <f>0.078*(3*60)</f>
        <v>14.04</v>
      </c>
      <c r="S12" s="20">
        <v>7.1</v>
      </c>
      <c r="T12" s="20">
        <v>0.6</v>
      </c>
      <c r="U12" s="20">
        <v>1.8</v>
      </c>
      <c r="V12" s="20">
        <v>0.344</v>
      </c>
      <c r="W12" s="34">
        <f>(V12*1000)/((3.1415/6)*1000*('[1]PM number'!$E$20*0.000000001)^3*EXP(4.5*1.8^2))</f>
        <v>9786500472020460</v>
      </c>
      <c r="X12">
        <v>0.078</v>
      </c>
      <c r="Y12" s="19">
        <v>32</v>
      </c>
      <c r="Z12" s="19">
        <v>5.5</v>
      </c>
      <c r="AA12" s="20">
        <f>0.053*(5.5*60)</f>
        <v>17.49</v>
      </c>
      <c r="AB12" s="20">
        <v>4.5</v>
      </c>
      <c r="AC12" s="20">
        <v>0.4</v>
      </c>
      <c r="AD12" s="20">
        <v>4.5</v>
      </c>
      <c r="AE12" s="20">
        <v>0.178</v>
      </c>
      <c r="AF12" s="34">
        <f>(AE12*1000)/((3.1415/6)*1000*('[1]PM number'!$D$20*0.000000001)^3*EXP(4.5*1.8^2))</f>
        <v>18643615612125536</v>
      </c>
      <c r="AG12" s="34">
        <v>0.053</v>
      </c>
      <c r="AH12" s="21">
        <f aca="true" t="shared" si="34" ref="AH12:AH75">ROUND((I12+R12+AA12)*F12,1)</f>
        <v>78.7</v>
      </c>
      <c r="AI12" s="21">
        <f aca="true" t="shared" si="35" ref="AI12:AI75">ROUND((J12*I12+S12*R12+AB12*AA12)*F12,1)</f>
        <v>391.1</v>
      </c>
      <c r="AJ12" s="21">
        <f t="shared" si="20"/>
        <v>46.4</v>
      </c>
      <c r="AK12" s="21">
        <f aca="true" t="shared" si="36" ref="AK12:AK75">ROUND((I12*L12+R12*U12+AA12*AD12)*F12,1)</f>
        <v>457.6</v>
      </c>
      <c r="AL12" s="21">
        <f aca="true" t="shared" si="37" ref="AL12:AL75">ROUND((N12*I12+V12*R12+AE12*AA12)*F12,1)</f>
        <v>16.4</v>
      </c>
      <c r="AM12" s="21">
        <f t="shared" si="23"/>
        <v>31774439161434384</v>
      </c>
      <c r="AN12" s="19">
        <v>0.9</v>
      </c>
      <c r="AO12" s="19">
        <v>62</v>
      </c>
      <c r="AP12" s="34">
        <v>0.07</v>
      </c>
      <c r="AQ12" s="34">
        <f>ROUND(-0.0000024753*(AO12^3)+0.0000575805*(AO12^2)+0.0893725377*AO12+1.6622265388,2)</f>
        <v>6.83</v>
      </c>
      <c r="AR12" s="34">
        <f>ROUND(-0.000008*(AO12^3)+0.001701*(AO12^2)-0.108381*AO12+2.499955,2)</f>
        <v>0.41</v>
      </c>
      <c r="AS12" s="34">
        <f>ROUND(13.0647299309*(EXP(-0.0242412181*AO12)),2)</f>
        <v>2.91</v>
      </c>
      <c r="AT12" s="34">
        <f>ROUND(-0.000000349*(AO12^3)+0.0000425*(AO12^2)+0.0013*AO12+0.1717,3)</f>
        <v>0.332</v>
      </c>
      <c r="AU12" s="23">
        <f t="shared" si="29"/>
        <v>453.6</v>
      </c>
      <c r="AV12" s="23">
        <f t="shared" si="30"/>
        <v>3.1</v>
      </c>
      <c r="AW12" s="23">
        <f t="shared" si="31"/>
        <v>0.19</v>
      </c>
      <c r="AX12" s="23">
        <f t="shared" si="32"/>
        <v>1.32</v>
      </c>
      <c r="AY12" s="23">
        <f t="shared" si="33"/>
        <v>150.6</v>
      </c>
      <c r="AZ12" s="23">
        <f>(AY12*1000)/((3.1415/6)*1000*('[1]PM number'!$F$16*0.000000001)^3*EXP(4.5*1.8^2))</f>
        <v>2.753892724446695E+18</v>
      </c>
    </row>
    <row r="13" spans="1:52" ht="38.25">
      <c r="A13" s="24" t="s">
        <v>90</v>
      </c>
      <c r="B13" s="25" t="s">
        <v>91</v>
      </c>
      <c r="C13" s="24" t="s">
        <v>92</v>
      </c>
      <c r="D13" s="24" t="s">
        <v>93</v>
      </c>
      <c r="E13" s="26">
        <v>1450</v>
      </c>
      <c r="F13" s="26">
        <v>2</v>
      </c>
      <c r="G13" s="27">
        <v>6</v>
      </c>
      <c r="H13" s="28">
        <v>5</v>
      </c>
      <c r="I13" s="17">
        <f>ROUND(M13*300,1)</f>
        <v>6.5</v>
      </c>
      <c r="J13" s="17">
        <f>ROUND(0.2113*((G13/100)*E13)^0.5677,1)</f>
        <v>2.7</v>
      </c>
      <c r="K13" s="17">
        <f>ROUND(3819*((G13/100)*E13)^(-1.0801),2)</f>
        <v>30.7</v>
      </c>
      <c r="L13" s="17">
        <f>ROUND(5660*((G13/100)*E13)^-1.11,1)</f>
        <v>39.8</v>
      </c>
      <c r="M13" s="18">
        <f>IF($E13&gt;1000,4.0539*10^(-18)*((G13/100)*E13)^5-3.16298*10^(-14)*((G13/100)*E13)^4+9.2087*10^(-11)*((G13/100)*E13)^3-1.2156*10^(-7)*((G13/100)*E13)^2+1.1476*10^(-4)*((G13/100)*E13)+0.01256,IF($E13&gt;600,3.3158*10^(-16)*((G13/100)*E13)^5-1.0175*10^(-12)*((G13/100)*E13)^4+1.1627*10^(-9)*((G13/100)*E13)^3-5.9528*10^(-7)*((G13/100)*E13)^2+1.8168*10^(-4)*((G13/100)*E13)+0.0062945,2.197*10^(-15)*((G13/100)*E13)^5-4.4441*10^(-12)*((G13/100)*E13)^4+3.4208*10^(-9)*((G13/100)*E13)^3-1.2138*10^(-6)*((G13/100)*E13)^2+2.414*10^(-4)*((G13/100)*E13)+0.004583))</f>
        <v>0.021682880067564227</v>
      </c>
      <c r="N13" s="17">
        <f aca="true" t="shared" si="38" ref="N13:N76">ROUND((-0.000006*((G13/100)*E13)^2+0.02958*((G13/100)*E13)+13.2)*8/1000,3)</f>
        <v>0.126</v>
      </c>
      <c r="O13" s="17">
        <f>(N13*1000)/((3.1415/6)*1000*('[1]PM number'!C20*0.000000001)^3*EXP(4.5*1.8^2))</f>
        <v>13593055088333452</v>
      </c>
      <c r="P13" s="19">
        <v>66</v>
      </c>
      <c r="Q13" s="19">
        <v>3</v>
      </c>
      <c r="R13" s="20">
        <f>ROUND(X13*(Q13*60),1)</f>
        <v>12.3</v>
      </c>
      <c r="S13" s="20">
        <f>ROUND(0.2113*((P13/100)*E13)^0.5677,1)</f>
        <v>10.4</v>
      </c>
      <c r="T13" s="20">
        <f>ROUND(3819*((P13/100)*E13)^(-1.0801),2)</f>
        <v>2.3</v>
      </c>
      <c r="U13" s="20">
        <f>ROUND(5660*((P13/100)*E13)^-1.11,1)</f>
        <v>2.8</v>
      </c>
      <c r="V13" s="20">
        <f aca="true" t="shared" si="39" ref="V13:V76">ROUND((-0.000006*((P13/100)*E13)^2+0.02958*((P13/100)*E13)+13.2)*8/1000,3)</f>
        <v>0.288</v>
      </c>
      <c r="W13" s="17">
        <f>(V13*1000)/((3.1415/6)*1000*('[1]PM number'!$E$20*0.000000001)^3*EXP(4.5*1.8^2))</f>
        <v>8193349232389223</v>
      </c>
      <c r="X13">
        <f>IF($E13&gt;1000,4.0539*10^(-18)*((P13/100)*E13)^5-3.16298*10^(-14)*((P13/100)*E13)^4+9.2087*10^(-11)*((P13/100)*E13)^3-1.2156*10^(-7)*((P13/100)*E13)^2+1.1476*10^(-4)*((P13/100)*E13)+0.01256,IF($E13&gt;600,3.3158*10^(-16)*((P13/100)*E13)^5-1.0175*10^(-12)*((P13/100)*E13)^4+1.1627*10^(-9)*((P13/100)*E13)^3-5.9528*10^(-7)*((P13/100)*E13)^2+1.8168*10^(-4)*((P13/100)*E13)+0.0062945,2.197*10^(-15)*((P13/100)*E13)^5-4.4441*10^(-12)*((P13/100)*E13)^4+3.4208*10^(-9)*((P13/100)*E13)^3-1.2138*10^(-6)*((P13/100)*E13)^2+2.414*10^(-4)*((P13/100)*E13)+0.004583))</f>
        <v>0.0684896668908899</v>
      </c>
      <c r="Y13" s="19">
        <v>32</v>
      </c>
      <c r="Z13" s="19">
        <v>5.5</v>
      </c>
      <c r="AA13" s="20">
        <f>ROUND(AG13*(Z13*60),1)</f>
        <v>15.7</v>
      </c>
      <c r="AB13" s="20">
        <f>ROUND(0.2113*((Y13/100)*E13)^0.5677,1)</f>
        <v>6.9</v>
      </c>
      <c r="AC13" s="20">
        <f>ROUND(3819*((Y13/100)*E13)^(-1.0801),2)</f>
        <v>5.03</v>
      </c>
      <c r="AD13" s="20">
        <f>ROUND(5660*((Y13/100)*E13)^-1.11,1)</f>
        <v>6.2</v>
      </c>
      <c r="AE13" s="20">
        <f aca="true" t="shared" si="40" ref="AE13:AE76">ROUND((-0.000006*((Y13/100)*E13)^2+0.02958*((Y13/100)*E13)+13.2)*8/1000,3)</f>
        <v>0.205</v>
      </c>
      <c r="AF13" s="17">
        <f>(AE13*1000)/((3.1415/6)*1000*('[1]PM number'!$D$20*0.000000001)^3*EXP(4.5*1.8^2))</f>
        <v>21471579778009748</v>
      </c>
      <c r="AG13" s="17">
        <f>IF($E13&gt;1000,4.0539*10^(-18)*((Y13/100)*E13)^5-3.16298*10^(-14)*((Y13/100)*E13)^4+9.2087*10^(-11)*((Y13/100)*E13)^3-1.2156*10^(-7)*((Y13/100)*E13)^2+1.1476*10^(-4)*((Y13/100)*E13)+0.01256,IF($E13&gt;600,3.3158*10^(-16)*((Y13/100)*E13)^5-1.0175*10^(-12)*((Y13/100)*E13)^4+1.1627*10^(-9)*((Y13/100)*E13)^3-5.9528*10^(-7)*((Y13/100)*E13)^2+1.8168*10^(-4)*((Y13/100)*E13)+0.0062945,2.197*10^(-15)*((Y13/100)*E13)^5-4.4441*10^(-12)*((Y13/100)*E13)^4+3.4208*10^(-9)*((Y13/100)*E13)^3-1.2138*10^(-6)*((Y13/100)*E13)^2+2.414*10^(-4)*((Y13/100)*E13)+0.004583))</f>
        <v>0.04745757808817587</v>
      </c>
      <c r="AH13" s="21">
        <f t="shared" si="34"/>
        <v>69</v>
      </c>
      <c r="AI13" s="21">
        <f t="shared" si="35"/>
        <v>507.6</v>
      </c>
      <c r="AJ13" s="21">
        <f t="shared" si="20"/>
        <v>613.6</v>
      </c>
      <c r="AK13" s="21">
        <f t="shared" si="36"/>
        <v>781</v>
      </c>
      <c r="AL13" s="21">
        <f t="shared" si="37"/>
        <v>15.2</v>
      </c>
      <c r="AM13" s="21">
        <f t="shared" si="23"/>
        <v>43257984098732424</v>
      </c>
      <c r="AN13" s="19">
        <v>1</v>
      </c>
      <c r="AO13" s="19">
        <v>62</v>
      </c>
      <c r="AP13" s="22">
        <f>IF($E13&gt;1000,4.0539*10^(-18)*((AO13/100)*E13)^5-3.16298*10^(-14)*((AO13/100)*E13)^4+9.2087*10^(-11)*((AO13/100)*E13)^3-1.2156*10^(-7)*((AO13/100)*E13)^2+1.1476*10^(-4)*((AO13/100)*E13)+0.01256,IF($E13&gt;600,3.3158*10^(-16)*((AO13/100)*E13)^5-1.0175*10^(-12)*((AO13/100)*E13)^4+1.1627*10^(-9)*((AO13/100)*E13)^3-5.9528*10^(-7)*((AO13/100)*E13)^2+1.8168*10^(-4)*((AO13/100)*E13)+0.0062945,2.197*10^(-15)*((AO13/100)*E13)^5-4.4441*10^(-12)*((AO13/100)*E13)^4+3.4208*10^(-9)*((AO13/100)*E13)^3-1.2138*10^(-6)*((AO13/100)*E13)^2+2.414*10^(-4)*((AO13/100)*E13)+0.004583))</f>
        <v>0.06611251179478332</v>
      </c>
      <c r="AQ13" s="22">
        <f>ROUND(0.2113*((AO13/100)*E13)^0.5677,1)</f>
        <v>10</v>
      </c>
      <c r="AR13" s="22">
        <f>ROUND(3819*((AO13/100)*E13)^(-1.0801),2)</f>
        <v>2.46</v>
      </c>
      <c r="AS13" s="22">
        <f>ROUND(5660*((AO13/100)*E13)^-1.11,1)</f>
        <v>3</v>
      </c>
      <c r="AT13" s="22">
        <f aca="true" t="shared" si="41" ref="AT13:AT76">ROUND((-0.000006*((AO13/100)*E13)^2+0.02958*((AO13/100)*E13)+13.2)*8/1000,3)</f>
        <v>0.28</v>
      </c>
      <c r="AU13" s="23">
        <f t="shared" si="29"/>
        <v>476</v>
      </c>
      <c r="AV13" s="23">
        <f t="shared" si="30"/>
        <v>4.76</v>
      </c>
      <c r="AW13" s="23">
        <f t="shared" si="31"/>
        <v>1.17</v>
      </c>
      <c r="AX13" s="23">
        <f t="shared" si="32"/>
        <v>1.43</v>
      </c>
      <c r="AY13" s="23">
        <f t="shared" si="33"/>
        <v>133.3</v>
      </c>
      <c r="AZ13" s="23">
        <f>(AY13*1000)/((3.1415/6)*1000*('[1]PM number'!$F$16*0.000000001)^3*EXP(4.5*1.8^2))</f>
        <v>2.437542497800428E+18</v>
      </c>
    </row>
    <row r="14" spans="1:52" ht="25.5">
      <c r="A14" s="30" t="s">
        <v>94</v>
      </c>
      <c r="B14" s="25" t="s">
        <v>72</v>
      </c>
      <c r="C14" s="24" t="s">
        <v>95</v>
      </c>
      <c r="D14" s="24" t="s">
        <v>96</v>
      </c>
      <c r="E14" s="26">
        <v>1100</v>
      </c>
      <c r="F14" s="26">
        <v>2</v>
      </c>
      <c r="G14" s="27">
        <v>6</v>
      </c>
      <c r="H14" s="28">
        <v>5</v>
      </c>
      <c r="I14" s="17">
        <f>ROUND(M14*300,1)</f>
        <v>5.9</v>
      </c>
      <c r="J14" s="17">
        <f>ROUND(0.2113*((G14/100)*E14)^0.5677,1)</f>
        <v>2.3</v>
      </c>
      <c r="K14" s="22">
        <f>ROUND(3819*((G14/100)*E14)^(-1.0801),2)</f>
        <v>41.37</v>
      </c>
      <c r="L14" s="17">
        <f>ROUND(5660*((G14/100)*E14)^-1.11,1)</f>
        <v>54.1</v>
      </c>
      <c r="M14" s="36">
        <f>IF($E14&gt;1000,4.0539*10^(-18)*((G14/100)*E14)^5-3.16298*10^(-14)*((G14/100)*E14)^4+9.2087*10^(-11)*((G14/100)*E14)^3-1.2156*10^(-7)*((G14/100)*E14)^2+1.1476*10^(-4)*((G14/100)*E14)+0.01256,IF($E14&gt;600,3.3158*10^(-16)*((G14/100)*E14)^5-1.0175*10^(-12)*((G14/100)*E14)^4+1.1627*10^(-9)*((G14/100)*E14)^3-5.9528*10^(-7)*((G14/100)*E14)^2+1.8168*10^(-4)*((G14/100)*E14)+0.0062945,2.197*10^(-15)*((G14/100)*E14)^5-4.4441*10^(-12)*((G14/100)*E14)^4+3.4208*10^(-9)*((G14/100)*E14)^3-1.2138*10^(-6)*((G14/100)*E14)^2+2.414*10^(-4)*((G14/100)*E14)+0.004583))</f>
        <v>0.0196305241938783</v>
      </c>
      <c r="N14" s="17">
        <f t="shared" si="38"/>
        <v>0.121</v>
      </c>
      <c r="O14" s="17">
        <f>(N14*1000)/((3.1415/6)*1000*('[1]PM number'!C20*0.000000001)^3*EXP(4.5*1.8^2))</f>
        <v>13053648140383712</v>
      </c>
      <c r="P14" s="19">
        <v>66</v>
      </c>
      <c r="Q14" s="19">
        <v>3</v>
      </c>
      <c r="R14" s="20">
        <f>ROUND(X14*(Q14*60),1)</f>
        <v>10.6</v>
      </c>
      <c r="S14" s="20">
        <f>ROUND(0.2113*((P14/100)*E14)^0.5677,1)</f>
        <v>8.9</v>
      </c>
      <c r="T14" s="20">
        <f>ROUND(3819*((P14/100)*E14)^(-1.0801),2)</f>
        <v>3.1</v>
      </c>
      <c r="U14" s="20">
        <f>ROUND(5660*((P14/100)*E14)^-1.11,1)</f>
        <v>3.8</v>
      </c>
      <c r="V14" s="20">
        <f t="shared" si="39"/>
        <v>0.252</v>
      </c>
      <c r="W14" s="17">
        <f>(V14*1000)/((3.1415/6)*1000*('[1]PM number'!$E20*0.000000001)^3*EXP(4.5*1.8^2))</f>
        <v>7169180578340570</v>
      </c>
      <c r="X14">
        <f>IF($E14&gt;1000,4.0539*10^(-18)*((P14/100)*E14)^5-3.16298*10^(-14)*((P14/100)*E14)^4+9.2087*10^(-11)*((P14/100)*E14)^3-1.2156*10^(-7)*((P14/100)*E14)^2+1.1476*10^(-4)*((P14/100)*E14)+0.01256,IF($E14&gt;600,3.3158*10^(-16)*((P14/100)*E14)^5-1.0175*10^(-12)*((P14/100)*E14)^4+1.1627*10^(-9)*((P14/100)*E14)^3-5.9528*10^(-7)*((P14/100)*E14)^2+1.8168*10^(-4)*((P14/100)*E14)+0.0062945,2.197*10^(-15)*((P14/100)*E14)^5-4.4441*10^(-12)*((P14/100)*E14)^4+3.4208*10^(-9)*((P14/100)*E14)^3-1.2138*10^(-6)*((P14/100)*E14)^2+2.414*10^(-4)*((P14/100)*E14)+0.004583))</f>
        <v>0.05907273494010688</v>
      </c>
      <c r="Y14" s="19">
        <v>32</v>
      </c>
      <c r="Z14" s="19">
        <v>5.5</v>
      </c>
      <c r="AA14" s="20">
        <f>ROUND(AG14*(Z14*60),1)</f>
        <v>13.7</v>
      </c>
      <c r="AB14" s="20">
        <f>ROUND(0.2113*((Y14/100)*E14)^0.5677,1)</f>
        <v>5.9</v>
      </c>
      <c r="AC14" s="20">
        <f>ROUND(3819*((Y14/100)*E14)^(-1.0801),2)</f>
        <v>6.78</v>
      </c>
      <c r="AD14" s="20">
        <f>ROUND(5660*((Y14/100)*E14)^-1.11,1)</f>
        <v>8.4</v>
      </c>
      <c r="AE14" s="20">
        <f t="shared" si="40"/>
        <v>0.183</v>
      </c>
      <c r="AF14" s="17">
        <f>(AE14*1000)/((3.1415/6)*1000*('[1]PM number'!$D20*0.000000001)^3*EXP(4.5*1.8^2))</f>
        <v>19167312679881870</v>
      </c>
      <c r="AG14" s="17">
        <f>IF($E14&gt;1000,4.0539*10^(-18)*((Y14/100)*E14)^5-3.16298*10^(-14)*((Y14/100)*E14)^4+9.2087*10^(-11)*((Y14/100)*E14)^3-1.2156*10^(-7)*((Y14/100)*E14)^2+1.1476*10^(-4)*((Y14/100)*E14)+0.01256,IF($E14&gt;600,3.3158*10^(-16)*((Y14/100)*E14)^5-1.0175*10^(-12)*((Y14/100)*E14)^4+1.1627*10^(-9)*((Y14/100)*E14)^3-5.9528*10^(-7)*((Y14/100)*E14)^2+1.8168*10^(-4)*((Y14/100)*E14)+0.0062945,2.197*10^(-15)*((Y14/100)*E14)^5-4.4441*10^(-12)*((Y14/100)*E14)^4+3.4208*10^(-9)*((Y14/100)*E14)^3-1.2138*10^(-6)*((Y14/100)*E14)^2+2.414*10^(-4)*((Y14/100)*E14)+0.004583))</f>
        <v>0.04144637145162953</v>
      </c>
      <c r="AH14" s="21">
        <f t="shared" si="34"/>
        <v>60.4</v>
      </c>
      <c r="AI14" s="21">
        <f t="shared" si="35"/>
        <v>377.5</v>
      </c>
      <c r="AJ14" s="21">
        <f t="shared" si="20"/>
        <v>739.7</v>
      </c>
      <c r="AK14" s="21">
        <f t="shared" si="36"/>
        <v>949.1</v>
      </c>
      <c r="AL14" s="21">
        <f t="shared" si="37"/>
        <v>11.8</v>
      </c>
      <c r="AM14" s="21">
        <f t="shared" si="23"/>
        <v>39390141398606150</v>
      </c>
      <c r="AN14" s="19">
        <v>1</v>
      </c>
      <c r="AO14" s="19">
        <v>62</v>
      </c>
      <c r="AP14" s="22">
        <f>IF($E14&gt;1000,4.0539*10^(-18)*((AO14/100)*E14)^5-3.16298*10^(-14)*((AO14/100)*E14)^4+9.2087*10^(-11)*((AO14/100)*E14)^3-1.2156*10^(-7)*((AO14/100)*E14)^2+1.1476*10^(-4)*((AO14/100)*E14)+0.01256,IF($E14&gt;600,3.3158*10^(-16)*((AO14/100)*E14)^5-1.0175*10^(-12)*((AO14/100)*E14)^4+1.1627*10^(-9)*((AO14/100)*E14)^3-5.9528*10^(-7)*((AO14/100)*E14)^2+1.8168*10^(-4)*((AO14/100)*E14)+0.0062945,2.197*10^(-15)*((AO14/100)*E14)^5-4.4441*10^(-12)*((AO14/100)*E14)^4+3.4208*10^(-9)*((AO14/100)*E14)^3-1.2138*10^(-6)*((AO14/100)*E14)^2+2.414*10^(-4)*((AO14/100)*E14)+0.004583))</f>
        <v>0.05725251200590628</v>
      </c>
      <c r="AQ14" s="22">
        <f>ROUND(0.2113*((AO14/100)*E14)^0.5677,1)</f>
        <v>8.6</v>
      </c>
      <c r="AR14" s="22">
        <f>ROUND(3819*((AO14/100)*E14)^(-1.0801),2)</f>
        <v>3.32</v>
      </c>
      <c r="AS14" s="22">
        <f>ROUND(5660*((AO14/100)*E14)^-1.11,1)</f>
        <v>4</v>
      </c>
      <c r="AT14" s="22">
        <f t="shared" si="41"/>
        <v>0.245</v>
      </c>
      <c r="AU14" s="23">
        <f t="shared" si="29"/>
        <v>412.2</v>
      </c>
      <c r="AV14" s="23">
        <f t="shared" si="30"/>
        <v>3.55</v>
      </c>
      <c r="AW14" s="23">
        <f t="shared" si="31"/>
        <v>1.37</v>
      </c>
      <c r="AX14" s="23">
        <f t="shared" si="32"/>
        <v>1.65</v>
      </c>
      <c r="AY14" s="23">
        <f t="shared" si="33"/>
        <v>101</v>
      </c>
      <c r="AZ14" s="23">
        <f>(AY14*1000)/((3.1415/6)*1000*('[1]PM number'!$F$16*0.000000001)^3*EXP(4.5*1.8^2))</f>
        <v>1.8469001671256056E+18</v>
      </c>
    </row>
    <row r="15" spans="1:52" ht="12.75">
      <c r="A15" s="24" t="s">
        <v>97</v>
      </c>
      <c r="B15" s="25" t="s">
        <v>98</v>
      </c>
      <c r="C15" s="24" t="s">
        <v>99</v>
      </c>
      <c r="D15" s="24" t="s">
        <v>100</v>
      </c>
      <c r="E15" s="26">
        <v>900</v>
      </c>
      <c r="F15" s="26">
        <v>2</v>
      </c>
      <c r="G15" s="27">
        <v>6</v>
      </c>
      <c r="H15" s="28">
        <v>5</v>
      </c>
      <c r="I15" s="34">
        <f>ROUND((0.0234762913*(EXP(0.0112076998*G15)))*(H15*60),1)</f>
        <v>7.5</v>
      </c>
      <c r="J15" s="34">
        <f>ROUND((5.4727940193*(EXP(0.0086239155*G15))),1)</f>
        <v>5.8</v>
      </c>
      <c r="K15" s="34">
        <f>ROUND(35.3375613359*(EXP(-0.0318730405*G15)),2)</f>
        <v>29.19</v>
      </c>
      <c r="L15" s="34">
        <f>ROUND((48.9437661861*(EXP(-0.0442810385*G15))),1)</f>
        <v>37.5</v>
      </c>
      <c r="M15" s="35">
        <f>ROUND((0.0234762913*(EXP(0.0112076998*G15))),7)</f>
        <v>0.0251093</v>
      </c>
      <c r="N15" s="34">
        <f t="shared" si="38"/>
        <v>0.118</v>
      </c>
      <c r="O15" s="34">
        <f>(N15*1000)/((3.1415/6)*1000*('[1]PM number'!C20*0.000000001)^3*EXP(4.5*1.8^2))</f>
        <v>12730003971613868</v>
      </c>
      <c r="P15" s="19">
        <v>66</v>
      </c>
      <c r="Q15" s="19">
        <v>3</v>
      </c>
      <c r="R15" s="20">
        <f>ROUND((0.0234762913*(EXP(0.0112076998*P15)))*(Q15*60),1)</f>
        <v>8.9</v>
      </c>
      <c r="S15" s="20">
        <f>ROUND((5.4727940193*(EXP(0.0086239155*P15))),1)</f>
        <v>9.7</v>
      </c>
      <c r="T15" s="20">
        <f>ROUND(35.3375613359*(EXP(-0.0318730405*P15)),2)</f>
        <v>4.31</v>
      </c>
      <c r="U15" s="20">
        <f>ROUND((48.9437661861*(EXP(-0.0442810385*P15))),1)</f>
        <v>2.6</v>
      </c>
      <c r="V15" s="20">
        <f t="shared" si="39"/>
        <v>0.229</v>
      </c>
      <c r="W15" s="34">
        <f>(V15*1000)/((3.1415/6)*1000*('[1]PM number'!$E20*0.000000001)^3*EXP(4.5*1.8^2))</f>
        <v>6514850604920597</v>
      </c>
      <c r="X15">
        <f>ROUND((0.0234762913*(EXP(0.0112076998*P15))),7)</f>
        <v>0.0491904</v>
      </c>
      <c r="Y15" s="19">
        <v>32</v>
      </c>
      <c r="Z15" s="19">
        <v>5.5</v>
      </c>
      <c r="AA15" s="20">
        <f>ROUND((0.0234762913*(EXP(0.0112076998*Y15)))*(Z15*60),1)</f>
        <v>11.1</v>
      </c>
      <c r="AB15" s="20">
        <f>ROUND((5.4727940193*(EXP(0.0086239155*Y15))),1)</f>
        <v>7.2</v>
      </c>
      <c r="AC15" s="20">
        <f>ROUND(35.3375613359*(EXP(-0.0318730405*Y15)),2)</f>
        <v>12.74</v>
      </c>
      <c r="AD15" s="20">
        <f>ROUND((48.9437661861*(EXP(-0.0442810385*Y15))),1)</f>
        <v>11.9</v>
      </c>
      <c r="AE15" s="20">
        <f t="shared" si="40"/>
        <v>0.17</v>
      </c>
      <c r="AF15" s="34">
        <f>(AE15*1000)/((3.1415/6)*1000*('[1]PM number'!$D20*0.000000001)^3*EXP(4.5*1.8^2))</f>
        <v>17805700303715402</v>
      </c>
      <c r="AG15" s="34">
        <f>ROUND((0.0234762913*(EXP(0.0112076998*Y15))),7)</f>
        <v>0.0336037</v>
      </c>
      <c r="AH15" s="21">
        <f t="shared" si="34"/>
        <v>55</v>
      </c>
      <c r="AI15" s="21">
        <f t="shared" si="35"/>
        <v>419.5</v>
      </c>
      <c r="AJ15" s="21">
        <f t="shared" si="20"/>
        <v>797.4</v>
      </c>
      <c r="AK15" s="21">
        <f t="shared" si="36"/>
        <v>873</v>
      </c>
      <c r="AL15" s="21">
        <f t="shared" si="37"/>
        <v>9.6</v>
      </c>
      <c r="AM15" s="21">
        <f t="shared" si="23"/>
        <v>37050554880249864</v>
      </c>
      <c r="AN15" s="19">
        <v>1</v>
      </c>
      <c r="AO15" s="19">
        <v>62</v>
      </c>
      <c r="AP15" s="34">
        <f>ROUND((0.0234762913*(EXP(0.0112076998*AO15))),2)</f>
        <v>0.05</v>
      </c>
      <c r="AQ15" s="34">
        <f>ROUND(0.2113*((AO15/100)*E15)^0.5677,1)</f>
        <v>7.7</v>
      </c>
      <c r="AR15" s="34">
        <f>ROUND(35.3375613359*(EXP(-0.0318730405*AO15)),2)</f>
        <v>4.9</v>
      </c>
      <c r="AS15" s="34">
        <f>ROUND((48.9437661861*(EXP(-0.0442810385*AO15))),1)</f>
        <v>3.1</v>
      </c>
      <c r="AT15" s="34">
        <f t="shared" si="41"/>
        <v>0.223</v>
      </c>
      <c r="AU15" s="23">
        <f t="shared" si="29"/>
        <v>360</v>
      </c>
      <c r="AV15" s="23">
        <f t="shared" si="30"/>
        <v>2.77</v>
      </c>
      <c r="AW15" s="23">
        <f t="shared" si="31"/>
        <v>1.76</v>
      </c>
      <c r="AX15" s="23">
        <f t="shared" si="32"/>
        <v>1.12</v>
      </c>
      <c r="AY15" s="23">
        <f t="shared" si="33"/>
        <v>80.3</v>
      </c>
      <c r="AZ15" s="23">
        <f>(AY15*1000)/((3.1415/6)*1000*('[1]PM number'!$F$16*0.000000001)^3*EXP(4.5*1.8^2))</f>
        <v>1.4683770635661993E+18</v>
      </c>
    </row>
    <row r="16" spans="1:52" ht="12.75">
      <c r="A16" s="24" t="s">
        <v>97</v>
      </c>
      <c r="B16" s="25" t="s">
        <v>98</v>
      </c>
      <c r="C16" s="24" t="s">
        <v>101</v>
      </c>
      <c r="D16" s="24" t="s">
        <v>102</v>
      </c>
      <c r="E16" s="26">
        <v>900</v>
      </c>
      <c r="F16" s="26">
        <v>2</v>
      </c>
      <c r="G16" s="27">
        <v>6</v>
      </c>
      <c r="H16" s="28">
        <v>5</v>
      </c>
      <c r="I16" s="34">
        <f>ROUND((0.0234762913*(EXP(0.0112076998*G16)))*(H16*60),1)</f>
        <v>7.5</v>
      </c>
      <c r="J16" s="34">
        <f>ROUND((5.4727940193*(EXP(0.0086239155*G15))),1)</f>
        <v>5.8</v>
      </c>
      <c r="K16" s="34">
        <f>ROUND(35.3375613359*(EXP(-0.0318730405*G16)),2)</f>
        <v>29.19</v>
      </c>
      <c r="L16" s="34">
        <f>ROUND((48.9437661861*(EXP(-0.0442810385*G16))),1)</f>
        <v>37.5</v>
      </c>
      <c r="M16" s="35">
        <f>ROUND((0.0234762913*(EXP(0.0112076998*G16))),7)</f>
        <v>0.0251093</v>
      </c>
      <c r="N16" s="34">
        <f t="shared" si="38"/>
        <v>0.118</v>
      </c>
      <c r="O16" s="34">
        <f>(N16*1000)/((3.1415/6)*1000*('[1]PM number'!C20*0.000000001)^3*EXP(4.5*1.8^2))</f>
        <v>12730003971613868</v>
      </c>
      <c r="P16" s="19">
        <v>66</v>
      </c>
      <c r="Q16" s="19">
        <v>3</v>
      </c>
      <c r="R16" s="20">
        <f>ROUND((0.0234762913*(EXP(0.0112076998*P16)))*(Q16*60),1)</f>
        <v>8.9</v>
      </c>
      <c r="S16" s="20">
        <f>ROUND((5.4727940193*(EXP(0.0086239155*P16))),1)</f>
        <v>9.7</v>
      </c>
      <c r="T16" s="20">
        <f>ROUND(35.3375613359*(EXP(-0.0318730405*P16)),2)</f>
        <v>4.31</v>
      </c>
      <c r="U16" s="20">
        <f>ROUND((48.9437661861*(EXP(-0.0442810385*P16))),1)</f>
        <v>2.6</v>
      </c>
      <c r="V16" s="20">
        <f t="shared" si="39"/>
        <v>0.229</v>
      </c>
      <c r="W16" s="34">
        <f>(V16*1000)/((3.1415/6)*1000*('[1]PM number'!$E20*0.000000001)^3*EXP(4.5*1.8^2))</f>
        <v>6514850604920597</v>
      </c>
      <c r="X16" s="37">
        <f>ROUND((0.0234762913*(EXP(0.0112076998*P16))),7)</f>
        <v>0.0491904</v>
      </c>
      <c r="Y16" s="19">
        <v>32</v>
      </c>
      <c r="Z16" s="19">
        <v>5.5</v>
      </c>
      <c r="AA16" s="20">
        <f>ROUND((0.0234762913*(EXP(0.0112076998*Y16)))*(Z16*60),1)</f>
        <v>11.1</v>
      </c>
      <c r="AB16" s="20">
        <f>ROUND((5.4727940193*(EXP(0.0086239155*Y16))),1)</f>
        <v>7.2</v>
      </c>
      <c r="AC16" s="20">
        <f>ROUND(35.3375613359*(EXP(-0.0318730405*Y16)),2)</f>
        <v>12.74</v>
      </c>
      <c r="AD16" s="20">
        <f>ROUND((48.9437661861*(EXP(-0.0442810385*Y16))),1)</f>
        <v>11.9</v>
      </c>
      <c r="AE16" s="20">
        <f t="shared" si="40"/>
        <v>0.17</v>
      </c>
      <c r="AF16" s="34">
        <f>(AE16*1000)/((3.1415/6)*1000*('[1]PM number'!$D20*0.000000001)^3*EXP(4.5*1.8^2))</f>
        <v>17805700303715402</v>
      </c>
      <c r="AG16" s="34">
        <f>ROUND((0.0234762913*(EXP(0.0112076998*Y16))),7)</f>
        <v>0.0336037</v>
      </c>
      <c r="AH16" s="21">
        <f t="shared" si="34"/>
        <v>55</v>
      </c>
      <c r="AI16" s="21">
        <f t="shared" si="35"/>
        <v>419.5</v>
      </c>
      <c r="AJ16" s="21">
        <f t="shared" si="20"/>
        <v>797.4</v>
      </c>
      <c r="AK16" s="21">
        <f t="shared" si="36"/>
        <v>873</v>
      </c>
      <c r="AL16" s="21">
        <f t="shared" si="37"/>
        <v>9.6</v>
      </c>
      <c r="AM16" s="21">
        <f t="shared" si="23"/>
        <v>37050554880249864</v>
      </c>
      <c r="AN16" s="19">
        <v>1</v>
      </c>
      <c r="AO16" s="19">
        <v>62</v>
      </c>
      <c r="AP16" s="34">
        <f>ROUND((0.0234762913*(EXP(0.0112076998*AO16))),2)</f>
        <v>0.05</v>
      </c>
      <c r="AQ16" s="34">
        <f>ROUND(0.2113*((AO16/100)*E16)^0.5677,1)</f>
        <v>7.7</v>
      </c>
      <c r="AR16" s="34">
        <f>ROUND(35.3375613359*(EXP(-0.0318730405*AO16)),2)</f>
        <v>4.9</v>
      </c>
      <c r="AS16" s="34">
        <f>ROUND((48.9437661861*(EXP(-0.0442810385*AO16))),1)</f>
        <v>3.1</v>
      </c>
      <c r="AT16" s="34">
        <f t="shared" si="41"/>
        <v>0.223</v>
      </c>
      <c r="AU16" s="23">
        <f t="shared" si="29"/>
        <v>360</v>
      </c>
      <c r="AV16" s="23">
        <f t="shared" si="30"/>
        <v>2.77</v>
      </c>
      <c r="AW16" s="23">
        <f t="shared" si="31"/>
        <v>1.76</v>
      </c>
      <c r="AX16" s="23">
        <f t="shared" si="32"/>
        <v>1.12</v>
      </c>
      <c r="AY16" s="23">
        <f t="shared" si="33"/>
        <v>80.3</v>
      </c>
      <c r="AZ16" s="23">
        <f>(AY16*1000)/((3.1415/6)*1000*('[1]PM number'!$F$16*0.000000001)^3*EXP(4.5*1.8^2))</f>
        <v>1.4683770635661993E+18</v>
      </c>
    </row>
    <row r="17" spans="1:52" ht="25.5">
      <c r="A17" s="30" t="s">
        <v>103</v>
      </c>
      <c r="B17" s="25" t="s">
        <v>72</v>
      </c>
      <c r="C17" s="24" t="s">
        <v>73</v>
      </c>
      <c r="D17" s="24" t="s">
        <v>104</v>
      </c>
      <c r="E17" s="26">
        <v>900</v>
      </c>
      <c r="F17" s="26">
        <v>2</v>
      </c>
      <c r="G17" s="27">
        <v>6</v>
      </c>
      <c r="H17" s="28">
        <v>5</v>
      </c>
      <c r="I17" s="34">
        <f>ROUND((0.0234762913*(EXP(0.0112076998*G17)))*(H17*60),1)</f>
        <v>7.5</v>
      </c>
      <c r="J17" s="34">
        <v>3.8</v>
      </c>
      <c r="K17" s="34">
        <v>11.31</v>
      </c>
      <c r="L17" s="34">
        <v>22.71</v>
      </c>
      <c r="M17" s="35">
        <v>0.02</v>
      </c>
      <c r="N17" s="34">
        <f t="shared" si="38"/>
        <v>0.118</v>
      </c>
      <c r="O17" s="34">
        <f>(N17*1000)/((3.1415/6)*1000*('[1]PM number'!C20*0.000000001)^3*EXP(4.5*1.8^2))</f>
        <v>12730003971613868</v>
      </c>
      <c r="P17" s="19">
        <v>66</v>
      </c>
      <c r="Q17" s="19">
        <v>3</v>
      </c>
      <c r="R17" s="20">
        <f>ROUND((0.0234762913*(EXP(0.0112076998*P17)))*(Q17*60),1)</f>
        <v>8.9</v>
      </c>
      <c r="S17" s="20">
        <v>7.6</v>
      </c>
      <c r="T17" s="20">
        <v>0.59</v>
      </c>
      <c r="U17" s="20">
        <v>4.96</v>
      </c>
      <c r="V17" s="20">
        <f t="shared" si="39"/>
        <v>0.229</v>
      </c>
      <c r="W17" s="34">
        <f>(V17*1000)/((3.1415/6)*1000*('[1]PM number'!$E20*0.000000001)^3*EXP(4.5*1.8^2))</f>
        <v>6514850604920597</v>
      </c>
      <c r="X17" s="31">
        <v>0.05</v>
      </c>
      <c r="Y17" s="19">
        <v>32</v>
      </c>
      <c r="Z17" s="19">
        <v>5.5</v>
      </c>
      <c r="AA17" s="20">
        <f>ROUND((0.0234762913*(EXP(0.0112076998*Y17)))*(Z17*60),1)</f>
        <v>11.1</v>
      </c>
      <c r="AB17" s="20">
        <v>5.5</v>
      </c>
      <c r="AC17" s="20">
        <v>3.15</v>
      </c>
      <c r="AD17" s="20">
        <v>11.74</v>
      </c>
      <c r="AE17" s="20">
        <f t="shared" si="40"/>
        <v>0.17</v>
      </c>
      <c r="AF17" s="34">
        <f>(AE17*1000)/((3.1415/6)*1000*('[1]PM number'!$D20*0.000000001)^3*EXP(4.5*1.8^2))</f>
        <v>17805700303715402</v>
      </c>
      <c r="AG17" s="34">
        <v>0.033</v>
      </c>
      <c r="AH17" s="21">
        <f t="shared" si="34"/>
        <v>55</v>
      </c>
      <c r="AI17" s="21">
        <f t="shared" si="35"/>
        <v>314.4</v>
      </c>
      <c r="AJ17" s="21">
        <f t="shared" si="20"/>
        <v>250.1</v>
      </c>
      <c r="AK17" s="21">
        <f t="shared" si="36"/>
        <v>689.6</v>
      </c>
      <c r="AL17" s="21">
        <f t="shared" si="37"/>
        <v>9.6</v>
      </c>
      <c r="AM17" s="21">
        <f t="shared" si="23"/>
        <v>37050554880249864</v>
      </c>
      <c r="AN17" s="19">
        <v>1</v>
      </c>
      <c r="AO17" s="19">
        <v>62</v>
      </c>
      <c r="AP17" s="34">
        <f>ROUND((0.0234762913*(EXP(0.0112076998*AO17))),2)</f>
        <v>0.05</v>
      </c>
      <c r="AQ17" s="34">
        <f>ROUND((3.994838288*(EXP(0.0091701678*AO17))),1)</f>
        <v>7.1</v>
      </c>
      <c r="AR17" s="34">
        <f>ROUND(15.1991659539*(EXP(-0.0492011501*AO17)),2)</f>
        <v>0.72</v>
      </c>
      <c r="AS17" s="34">
        <f>ROUND(26.435701*(EXP(-0.025354*AO17)),2)</f>
        <v>5.49</v>
      </c>
      <c r="AT17" s="34">
        <f t="shared" si="41"/>
        <v>0.223</v>
      </c>
      <c r="AU17" s="23">
        <f t="shared" si="29"/>
        <v>360</v>
      </c>
      <c r="AV17" s="23">
        <f t="shared" si="30"/>
        <v>2.56</v>
      </c>
      <c r="AW17" s="23">
        <f t="shared" si="31"/>
        <v>0.26</v>
      </c>
      <c r="AX17" s="23">
        <f t="shared" si="32"/>
        <v>1.98</v>
      </c>
      <c r="AY17" s="23">
        <f t="shared" si="33"/>
        <v>80.3</v>
      </c>
      <c r="AZ17" s="23">
        <f>(AY17*1000)/((3.1415/6)*1000*('[1]PM number'!$F$16*0.000000001)^3*EXP(4.5*1.8^2))</f>
        <v>1.4683770635661993E+18</v>
      </c>
    </row>
    <row r="18" spans="1:52" ht="25.5">
      <c r="A18" s="24" t="s">
        <v>105</v>
      </c>
      <c r="B18" s="25" t="s">
        <v>106</v>
      </c>
      <c r="C18" s="24" t="s">
        <v>107</v>
      </c>
      <c r="D18" s="24" t="s">
        <v>108</v>
      </c>
      <c r="E18" s="26">
        <v>880</v>
      </c>
      <c r="F18" s="26">
        <v>2</v>
      </c>
      <c r="G18" s="27">
        <v>6</v>
      </c>
      <c r="H18" s="28">
        <v>5</v>
      </c>
      <c r="I18" s="17">
        <f aca="true" t="shared" si="42" ref="I18:I72">ROUND(M18*300,1)</f>
        <v>4.3</v>
      </c>
      <c r="J18" s="17">
        <f aca="true" t="shared" si="43" ref="J18:J72">ROUND(0.2113*((G18/100)*E18)^0.5677,1)</f>
        <v>2</v>
      </c>
      <c r="K18" s="17">
        <f aca="true" t="shared" si="44" ref="K18:K72">ROUND(3819*((G18/100)*E18)^(-1.0801),2)</f>
        <v>52.64</v>
      </c>
      <c r="L18" s="17">
        <f aca="true" t="shared" si="45" ref="L18:L72">ROUND(5660*((G18/100)*E18)^-1.11,1)</f>
        <v>69.3</v>
      </c>
      <c r="M18" s="18">
        <f aca="true" t="shared" si="46" ref="M18:M72">IF($E18&gt;1000,4.0539*10^(-18)*((G18/100)*E18)^5-3.16298*10^(-14)*((G18/100)*E18)^4+9.2087*10^(-11)*((G18/100)*E18)^3-1.2156*10^(-7)*((G18/100)*E18)^2+1.1476*10^(-4)*((G18/100)*E18)+0.01256,IF($E18&gt;600,3.3158*10^(-16)*((G18/100)*E18)^5-1.0175*10^(-12)*((G18/100)*E18)^4+1.1627*10^(-9)*((G18/100)*E18)^3-5.9528*10^(-7)*((G18/100)*E18)^2+1.8168*10^(-4)*((G18/100)*E18)+0.0062945,2.197*10^(-15)*((G18/100)*E18)^5-4.4441*10^(-12)*((G18/100)*E18)^4+3.4208*10^(-9)*((G18/100)*E18)^3-1.2138*10^(-6)*((G18/100)*E18)^2+2.414*10^(-4)*((G18/100)*E18)+0.004583))</f>
        <v>0.014391033669424513</v>
      </c>
      <c r="N18" s="17">
        <f t="shared" si="38"/>
        <v>0.118</v>
      </c>
      <c r="O18" s="17">
        <f>(N18*1000)/((3.1415/6)*1000*('[1]PM number'!C20*0.000000001)^3*EXP(4.5*1.8^2))</f>
        <v>12730003971613868</v>
      </c>
      <c r="P18" s="19">
        <v>66</v>
      </c>
      <c r="Q18" s="19">
        <v>3</v>
      </c>
      <c r="R18" s="20">
        <f aca="true" t="shared" si="47" ref="R18:R72">ROUND(X18*(Q18*60),1)</f>
        <v>8.1</v>
      </c>
      <c r="S18" s="20">
        <f aca="true" t="shared" si="48" ref="S18:S72">ROUND(0.2113*((P18/100)*E18)^0.5677,1)</f>
        <v>7.8</v>
      </c>
      <c r="T18" s="20">
        <f aca="true" t="shared" si="49" ref="T18:T72">ROUND(3819*((P18/100)*E18)^(-1.0801),2)</f>
        <v>3.95</v>
      </c>
      <c r="U18" s="20">
        <f aca="true" t="shared" si="50" ref="U18:U72">ROUND(5660*((P18/100)*E18)^-1.11,1)</f>
        <v>4.8</v>
      </c>
      <c r="V18" s="20">
        <f t="shared" si="39"/>
        <v>0.227</v>
      </c>
      <c r="W18" s="17">
        <f>(V18*1000)/((3.1415/6)*1000*('[1]PM number'!$E$20*0.000000001)^3*EXP(4.5*1.8^2))</f>
        <v>6457952346362339</v>
      </c>
      <c r="X18" s="37">
        <f aca="true" t="shared" si="51" ref="X18:X72">IF($E18&gt;1000,4.0539*10^(-18)*((P18/100)*E18)^5-3.16298*10^(-14)*((P18/100)*E18)^4+9.2087*10^(-11)*((P18/100)*E18)^3-1.2156*10^(-7)*((P18/100)*E18)^2+1.1476*10^(-4)*((P18/100)*E18)+0.01256,IF($E18&gt;600,3.3158*10^(-16)*((P18/100)*E18)^5-1.0175*10^(-12)*((P18/100)*E18)^4+1.1627*10^(-9)*((P18/100)*E18)^3-5.9528*10^(-7)*((P18/100)*E18)^2+1.8168*10^(-4)*((P18/100)*E18)+0.0062945,2.197*10^(-15)*((P18/100)*E18)^5-4.4441*10^(-12)*((P18/100)*E18)^4+3.4208*10^(-9)*((P18/100)*E18)^3-1.2138*10^(-6)*((P18/100)*E18)^2+2.414*10^(-4)*((P18/100)*E18)+0.004583))</f>
        <v>0.044938024651803</v>
      </c>
      <c r="Y18" s="19">
        <v>32</v>
      </c>
      <c r="Z18" s="19">
        <v>5.5</v>
      </c>
      <c r="AA18" s="20">
        <f aca="true" t="shared" si="52" ref="AA18:AA72">ROUND(AG18*(Z18*60),1)</f>
        <v>10</v>
      </c>
      <c r="AB18" s="20">
        <f aca="true" t="shared" si="53" ref="AB18:AB72">ROUND(0.2113*((Y18/100)*E18)^0.5677,1)</f>
        <v>5.2</v>
      </c>
      <c r="AC18" s="20">
        <f aca="true" t="shared" si="54" ref="AC18:AC72">ROUND(3819*((Y18/100)*E18)^(-1.0801),2)</f>
        <v>8.63</v>
      </c>
      <c r="AD18" s="20">
        <f aca="true" t="shared" si="55" ref="AD18:AD72">ROUND(5660*((Y18/100)*E18)^-1.11,1)</f>
        <v>10.8</v>
      </c>
      <c r="AE18" s="20">
        <f t="shared" si="40"/>
        <v>0.168</v>
      </c>
      <c r="AF18" s="17">
        <f>(AE18*1000)/((3.1415/6)*1000*('[1]PM number'!$D$20*0.000000001)^3*EXP(4.5*1.8^2))</f>
        <v>17596221476612868</v>
      </c>
      <c r="AG18" s="17">
        <f aca="true" t="shared" si="56" ref="AG18:AG72">IF($E18&gt;1000,4.0539*10^(-18)*((Y18/100)*E18)^5-3.16298*10^(-14)*((Y18/100)*E18)^4+9.2087*10^(-11)*((Y18/100)*E18)^3-1.2156*10^(-7)*((Y18/100)*E18)^2+1.1476*10^(-4)*((Y18/100)*E18)+0.01256,IF($E18&gt;600,3.3158*10^(-16)*((Y18/100)*E18)^5-1.0175*10^(-12)*((Y18/100)*E18)^4+1.1627*10^(-9)*((Y18/100)*E18)^3-5.9528*10^(-7)*((Y18/100)*E18)^2+1.8168*10^(-4)*((Y18/100)*E18)+0.0062945,2.197*10^(-15)*((Y18/100)*E18)^5-4.4441*10^(-12)*((Y18/100)*E18)^4+3.4208*10^(-9)*((Y18/100)*E18)^3-1.2138*10^(-6)*((Y18/100)*E18)^2+2.414*10^(-4)*((Y18/100)*E18)+0.004583))</f>
        <v>0.030403231102618875</v>
      </c>
      <c r="AH18" s="21">
        <f t="shared" si="34"/>
        <v>44.8</v>
      </c>
      <c r="AI18" s="21">
        <f t="shared" si="35"/>
        <v>247.6</v>
      </c>
      <c r="AJ18" s="21">
        <f t="shared" si="20"/>
        <v>689.3</v>
      </c>
      <c r="AK18" s="21">
        <f t="shared" si="36"/>
        <v>889.7</v>
      </c>
      <c r="AL18" s="21">
        <f t="shared" si="37"/>
        <v>8.1</v>
      </c>
      <c r="AM18" s="21">
        <f t="shared" si="23"/>
        <v>36784177794589070</v>
      </c>
      <c r="AN18" s="19">
        <v>1</v>
      </c>
      <c r="AO18" s="19">
        <v>62</v>
      </c>
      <c r="AP18" s="22">
        <f aca="true" t="shared" si="57" ref="AP18:AP72">IF($E18&gt;1000,4.0539*10^(-18)*((AO18/100)*E18)^5-3.16298*10^(-14)*((AO18/100)*E18)^4+9.2087*10^(-11)*((AO18/100)*E18)^3-1.2156*10^(-7)*((AO18/100)*E18)^2+1.1476*10^(-4)*((AO18/100)*E18)+0.01256,IF($E18&gt;600,3.3158*10^(-16)*((AO18/100)*E18)^5-1.0175*10^(-12)*((AO18/100)*E18)^4+1.1627*10^(-9)*((AO18/100)*E18)^3-5.9528*10^(-7)*((AO18/100)*E18)^2+1.8168*10^(-4)*((AO18/100)*E18)+0.0062945,2.197*10^(-15)*((AO18/100)*E18)^5-4.4441*10^(-12)*((AO18/100)*E18)^4+3.4208*10^(-9)*((AO18/100)*E18)^3-1.2138*10^(-6)*((AO18/100)*E18)^2+2.414*10^(-4)*((AO18/100)*E18)+0.004583))</f>
        <v>0.04292238566185096</v>
      </c>
      <c r="AQ18" s="22">
        <f aca="true" t="shared" si="58" ref="AQ18:AQ75">ROUND(0.2113*((AO18/100)*E18)^0.5677,1)</f>
        <v>7.6</v>
      </c>
      <c r="AR18" s="22">
        <f aca="true" t="shared" si="59" ref="AR18:AR72">ROUND(3819*((AO18/100)*E18)^(-1.0801),2)</f>
        <v>4.23</v>
      </c>
      <c r="AS18" s="22">
        <f aca="true" t="shared" si="60" ref="AS18:AS72">ROUND(5660*((AO18/100)*E18)^-1.11,1)</f>
        <v>5.2</v>
      </c>
      <c r="AT18" s="22">
        <f t="shared" si="41"/>
        <v>0.22</v>
      </c>
      <c r="AU18" s="23">
        <f t="shared" si="29"/>
        <v>309</v>
      </c>
      <c r="AV18" s="23">
        <f t="shared" si="30"/>
        <v>2.35</v>
      </c>
      <c r="AW18" s="23">
        <f t="shared" si="31"/>
        <v>1.31</v>
      </c>
      <c r="AX18" s="23">
        <f t="shared" si="32"/>
        <v>1.61</v>
      </c>
      <c r="AY18" s="23">
        <f t="shared" si="33"/>
        <v>68</v>
      </c>
      <c r="AZ18" s="23">
        <f>(AY18*1000)/((3.1415/6)*1000*('[1]PM number'!$F$16*0.000000001)^3*EXP(4.5*1.8^2))</f>
        <v>1.243457538262784E+18</v>
      </c>
    </row>
    <row r="19" spans="1:52" ht="38.25">
      <c r="A19" s="24" t="s">
        <v>109</v>
      </c>
      <c r="B19" s="25" t="s">
        <v>110</v>
      </c>
      <c r="C19" s="24" t="s">
        <v>111</v>
      </c>
      <c r="D19" s="32" t="s">
        <v>112</v>
      </c>
      <c r="E19" s="26">
        <v>3925</v>
      </c>
      <c r="F19" s="26">
        <v>2</v>
      </c>
      <c r="G19" s="27">
        <v>6</v>
      </c>
      <c r="H19" s="28">
        <v>5</v>
      </c>
      <c r="I19" s="17">
        <f t="shared" si="42"/>
        <v>10.2</v>
      </c>
      <c r="J19" s="17">
        <f t="shared" si="43"/>
        <v>4.7</v>
      </c>
      <c r="K19" s="17">
        <f t="shared" si="44"/>
        <v>10.47</v>
      </c>
      <c r="L19" s="17">
        <f t="shared" si="45"/>
        <v>13.2</v>
      </c>
      <c r="M19" s="18">
        <f t="shared" si="46"/>
        <v>0.03395261838465178</v>
      </c>
      <c r="N19" s="17">
        <f t="shared" si="38"/>
        <v>0.159</v>
      </c>
      <c r="O19" s="17">
        <f>(N19*1000)/((3.1415/6)*1000*('[1]PM number'!C20*0.000000001)^3*EXP(4.5*1.8^2))</f>
        <v>17153140944801738</v>
      </c>
      <c r="P19" s="19">
        <v>66</v>
      </c>
      <c r="Q19" s="19">
        <v>3</v>
      </c>
      <c r="R19" s="20">
        <f t="shared" si="47"/>
        <v>25.8</v>
      </c>
      <c r="S19" s="20">
        <f t="shared" si="48"/>
        <v>18.3</v>
      </c>
      <c r="T19" s="20">
        <f t="shared" si="49"/>
        <v>0.79</v>
      </c>
      <c r="U19" s="20">
        <f t="shared" si="50"/>
        <v>0.9</v>
      </c>
      <c r="V19" s="20">
        <f t="shared" si="39"/>
        <v>0.397</v>
      </c>
      <c r="W19" s="17">
        <f>(V19*1000)/((3.1415/6)*1000*('[1]PM number'!$E$20*0.000000001)^3*EXP(4.5*1.8^2))</f>
        <v>11294304323814310</v>
      </c>
      <c r="X19" s="37">
        <f t="shared" si="51"/>
        <v>0.14346599468517443</v>
      </c>
      <c r="Y19" s="19">
        <v>32</v>
      </c>
      <c r="Z19" s="19">
        <v>5.5</v>
      </c>
      <c r="AA19" s="20">
        <f t="shared" si="52"/>
        <v>26.8</v>
      </c>
      <c r="AB19" s="20">
        <f t="shared" si="53"/>
        <v>12.1</v>
      </c>
      <c r="AC19" s="20">
        <f t="shared" si="54"/>
        <v>1.72</v>
      </c>
      <c r="AD19" s="20">
        <f t="shared" si="55"/>
        <v>2.1</v>
      </c>
      <c r="AE19" s="20">
        <f t="shared" si="40"/>
        <v>0.327</v>
      </c>
      <c r="AF19" s="17">
        <f>(AE19*1000)/((3.1415/6)*1000*('[1]PM number'!$D$20*0.000000001)^3*EXP(4.5*1.8^2))</f>
        <v>34249788231264332</v>
      </c>
      <c r="AG19" s="17">
        <f t="shared" si="56"/>
        <v>0.08134985829908394</v>
      </c>
      <c r="AH19" s="21">
        <f t="shared" si="34"/>
        <v>125.6</v>
      </c>
      <c r="AI19" s="21">
        <f t="shared" si="35"/>
        <v>1688.7</v>
      </c>
      <c r="AJ19" s="21">
        <f t="shared" si="20"/>
        <v>346.5</v>
      </c>
      <c r="AK19" s="21">
        <f t="shared" si="36"/>
        <v>428.3</v>
      </c>
      <c r="AL19" s="21">
        <f t="shared" si="37"/>
        <v>41.3</v>
      </c>
      <c r="AM19" s="21">
        <f t="shared" si="23"/>
        <v>62697233499880380</v>
      </c>
      <c r="AN19" s="19">
        <v>1</v>
      </c>
      <c r="AO19" s="19">
        <v>62</v>
      </c>
      <c r="AP19" s="22">
        <f t="shared" si="57"/>
        <v>0.1357576326779423</v>
      </c>
      <c r="AQ19" s="22">
        <f t="shared" si="58"/>
        <v>17.7</v>
      </c>
      <c r="AR19" s="22">
        <f t="shared" si="59"/>
        <v>0.84</v>
      </c>
      <c r="AS19" s="22">
        <f t="shared" si="60"/>
        <v>1</v>
      </c>
      <c r="AT19" s="22">
        <f t="shared" si="41"/>
        <v>0.397</v>
      </c>
      <c r="AU19" s="23">
        <f t="shared" si="29"/>
        <v>977.5</v>
      </c>
      <c r="AV19" s="23">
        <f t="shared" si="30"/>
        <v>17.3</v>
      </c>
      <c r="AW19" s="23">
        <f t="shared" si="31"/>
        <v>0.82</v>
      </c>
      <c r="AX19" s="23">
        <f t="shared" si="32"/>
        <v>0.98</v>
      </c>
      <c r="AY19" s="23">
        <f t="shared" si="33"/>
        <v>388</v>
      </c>
      <c r="AZ19" s="23">
        <f>(AY19*1000)/((3.1415/6)*1000*('[1]PM number'!$F$16*0.000000001)^3*EXP(4.5*1.8^2))</f>
        <v>7.095022424205297E+18</v>
      </c>
    </row>
    <row r="20" spans="1:52" ht="38.25">
      <c r="A20" s="24" t="s">
        <v>109</v>
      </c>
      <c r="B20" s="25" t="s">
        <v>113</v>
      </c>
      <c r="C20" s="24" t="s">
        <v>114</v>
      </c>
      <c r="D20" s="32" t="s">
        <v>112</v>
      </c>
      <c r="E20" s="26">
        <v>3925</v>
      </c>
      <c r="F20" s="26">
        <v>3</v>
      </c>
      <c r="G20" s="27">
        <v>6</v>
      </c>
      <c r="H20" s="28">
        <v>5</v>
      </c>
      <c r="I20" s="17">
        <f t="shared" si="42"/>
        <v>10.2</v>
      </c>
      <c r="J20" s="17">
        <f t="shared" si="43"/>
        <v>4.7</v>
      </c>
      <c r="K20" s="17">
        <f t="shared" si="44"/>
        <v>10.47</v>
      </c>
      <c r="L20" s="17">
        <f t="shared" si="45"/>
        <v>13.2</v>
      </c>
      <c r="M20" s="18">
        <f t="shared" si="46"/>
        <v>0.03395261838465178</v>
      </c>
      <c r="N20" s="17">
        <f t="shared" si="38"/>
        <v>0.159</v>
      </c>
      <c r="O20" s="17">
        <f>(N20*1000)/((3.1415/6)*1000*('[1]PM number'!C20*0.000000001)^3*EXP(4.5*1.8^2))</f>
        <v>17153140944801738</v>
      </c>
      <c r="P20" s="19">
        <v>66</v>
      </c>
      <c r="Q20" s="19">
        <v>3</v>
      </c>
      <c r="R20" s="20">
        <f t="shared" si="47"/>
        <v>25.8</v>
      </c>
      <c r="S20" s="20">
        <f t="shared" si="48"/>
        <v>18.3</v>
      </c>
      <c r="T20" s="20">
        <f t="shared" si="49"/>
        <v>0.79</v>
      </c>
      <c r="U20" s="20">
        <f t="shared" si="50"/>
        <v>0.9</v>
      </c>
      <c r="V20" s="20">
        <f t="shared" si="39"/>
        <v>0.397</v>
      </c>
      <c r="W20" s="17">
        <f>(V20*1000)/((3.1415/6)*1000*('[1]PM number'!$E$20*0.000000001)^3*EXP(4.5*1.8^2))</f>
        <v>11294304323814310</v>
      </c>
      <c r="X20">
        <f t="shared" si="51"/>
        <v>0.14346599468517443</v>
      </c>
      <c r="Y20" s="19">
        <v>32</v>
      </c>
      <c r="Z20" s="19">
        <v>5.5</v>
      </c>
      <c r="AA20" s="20">
        <f t="shared" si="52"/>
        <v>26.8</v>
      </c>
      <c r="AB20" s="20">
        <f t="shared" si="53"/>
        <v>12.1</v>
      </c>
      <c r="AC20" s="20">
        <f t="shared" si="54"/>
        <v>1.72</v>
      </c>
      <c r="AD20" s="20">
        <f t="shared" si="55"/>
        <v>2.1</v>
      </c>
      <c r="AE20" s="20">
        <f t="shared" si="40"/>
        <v>0.327</v>
      </c>
      <c r="AF20" s="17">
        <f>(AE20*1000)/((3.1415/6)*1000*('[1]PM number'!$D$20*0.000000001)^3*EXP(4.5*1.8^2))</f>
        <v>34249788231264332</v>
      </c>
      <c r="AG20" s="17">
        <f t="shared" si="56"/>
        <v>0.08134985829908394</v>
      </c>
      <c r="AH20" s="21">
        <f t="shared" si="34"/>
        <v>188.4</v>
      </c>
      <c r="AI20" s="21">
        <f t="shared" si="35"/>
        <v>2533.1</v>
      </c>
      <c r="AJ20" s="21">
        <f t="shared" si="20"/>
        <v>519.8</v>
      </c>
      <c r="AK20" s="21">
        <f t="shared" si="36"/>
        <v>642.4</v>
      </c>
      <c r="AL20" s="21">
        <f t="shared" si="37"/>
        <v>61.9</v>
      </c>
      <c r="AM20" s="21">
        <f t="shared" si="23"/>
        <v>62697233499880380</v>
      </c>
      <c r="AN20" s="19">
        <v>1</v>
      </c>
      <c r="AO20" s="19">
        <v>62</v>
      </c>
      <c r="AP20" s="22">
        <f t="shared" si="57"/>
        <v>0.1357576326779423</v>
      </c>
      <c r="AQ20" s="22">
        <f t="shared" si="58"/>
        <v>17.7</v>
      </c>
      <c r="AR20" s="22">
        <f t="shared" si="59"/>
        <v>0.84</v>
      </c>
      <c r="AS20" s="22">
        <f t="shared" si="60"/>
        <v>1</v>
      </c>
      <c r="AT20" s="22">
        <f t="shared" si="41"/>
        <v>0.397</v>
      </c>
      <c r="AU20" s="23">
        <f t="shared" si="29"/>
        <v>1466.2</v>
      </c>
      <c r="AV20" s="23">
        <f t="shared" si="30"/>
        <v>25.95</v>
      </c>
      <c r="AW20" s="23">
        <f t="shared" si="31"/>
        <v>1.23</v>
      </c>
      <c r="AX20" s="23">
        <f t="shared" si="32"/>
        <v>1.47</v>
      </c>
      <c r="AY20" s="23">
        <f t="shared" si="33"/>
        <v>582.1</v>
      </c>
      <c r="AZ20" s="23">
        <f>(AY20*1000)/((3.1415/6)*1000*('[1]PM number'!$F$16*0.000000001)^3*EXP(4.5*1.8^2))</f>
        <v>1.0644362250334802E+19</v>
      </c>
    </row>
    <row r="21" spans="1:52" ht="25.5">
      <c r="A21" s="24" t="s">
        <v>115</v>
      </c>
      <c r="B21" s="25" t="s">
        <v>116</v>
      </c>
      <c r="C21" s="24" t="s">
        <v>117</v>
      </c>
      <c r="D21" s="24" t="s">
        <v>118</v>
      </c>
      <c r="E21" s="26">
        <v>4800</v>
      </c>
      <c r="F21" s="26">
        <v>2</v>
      </c>
      <c r="G21" s="27">
        <v>6</v>
      </c>
      <c r="H21" s="28">
        <v>5</v>
      </c>
      <c r="I21" s="17">
        <f t="shared" si="42"/>
        <v>11.3</v>
      </c>
      <c r="J21" s="17">
        <f t="shared" si="43"/>
        <v>5.3</v>
      </c>
      <c r="K21" s="17">
        <f t="shared" si="44"/>
        <v>8.42</v>
      </c>
      <c r="L21" s="17">
        <f t="shared" si="45"/>
        <v>10.5</v>
      </c>
      <c r="M21" s="18">
        <f t="shared" si="46"/>
        <v>0.03751839828578424</v>
      </c>
      <c r="N21" s="17">
        <f t="shared" si="38"/>
        <v>0.17</v>
      </c>
      <c r="O21" s="17">
        <f>(N21*1000)/((3.1415/6)*1000*('[1]PM number'!C20*0.000000001)^3*EXP(4.5*1.8^2))</f>
        <v>18339836230291170</v>
      </c>
      <c r="P21" s="19">
        <v>66</v>
      </c>
      <c r="Q21" s="19">
        <v>3</v>
      </c>
      <c r="R21" s="20">
        <f t="shared" si="47"/>
        <v>34.5</v>
      </c>
      <c r="S21" s="20">
        <f t="shared" si="48"/>
        <v>20.5</v>
      </c>
      <c r="T21" s="20">
        <f t="shared" si="49"/>
        <v>0.63</v>
      </c>
      <c r="U21" s="20">
        <f t="shared" si="50"/>
        <v>0.7</v>
      </c>
      <c r="V21" s="20">
        <f t="shared" si="39"/>
        <v>0.374</v>
      </c>
      <c r="W21" s="17">
        <f>(V21*1000)/((3.1415/6)*1000*('[1]PM number'!$E$20*0.000000001)^3*EXP(4.5*1.8^2))</f>
        <v>10639974350394338</v>
      </c>
      <c r="X21">
        <f t="shared" si="51"/>
        <v>0.19166016645110243</v>
      </c>
      <c r="Y21" s="19">
        <v>32</v>
      </c>
      <c r="Z21" s="19">
        <v>5.5</v>
      </c>
      <c r="AA21" s="20">
        <f t="shared" si="52"/>
        <v>31.1</v>
      </c>
      <c r="AB21" s="20">
        <f t="shared" si="53"/>
        <v>13.6</v>
      </c>
      <c r="AC21" s="20">
        <f t="shared" si="54"/>
        <v>1.38</v>
      </c>
      <c r="AD21" s="20">
        <f t="shared" si="55"/>
        <v>1.6</v>
      </c>
      <c r="AE21" s="20">
        <f t="shared" si="40"/>
        <v>0.356</v>
      </c>
      <c r="AF21" s="17">
        <f>(AE21*1000)/((3.1415/6)*1000*('[1]PM number'!$D$20*0.000000001)^3*EXP(4.5*1.8^2))</f>
        <v>37287231224251070</v>
      </c>
      <c r="AG21" s="17">
        <f t="shared" si="56"/>
        <v>0.0943472483293137</v>
      </c>
      <c r="AH21" s="21">
        <f t="shared" si="34"/>
        <v>153.8</v>
      </c>
      <c r="AI21" s="21">
        <f t="shared" si="35"/>
        <v>2380.2</v>
      </c>
      <c r="AJ21" s="21">
        <f t="shared" si="20"/>
        <v>319.6</v>
      </c>
      <c r="AK21" s="21">
        <f t="shared" si="36"/>
        <v>385.1</v>
      </c>
      <c r="AL21" s="21">
        <f t="shared" si="37"/>
        <v>51.8</v>
      </c>
      <c r="AM21" s="21">
        <f t="shared" si="23"/>
        <v>66267041804936580</v>
      </c>
      <c r="AN21" s="19">
        <v>1</v>
      </c>
      <c r="AO21" s="19">
        <v>62</v>
      </c>
      <c r="AP21" s="22">
        <f t="shared" si="57"/>
        <v>0.1699444072186633</v>
      </c>
      <c r="AQ21" s="22">
        <f t="shared" si="58"/>
        <v>19.8</v>
      </c>
      <c r="AR21" s="22">
        <f t="shared" si="59"/>
        <v>0.68</v>
      </c>
      <c r="AS21" s="22">
        <f t="shared" si="60"/>
        <v>0.8</v>
      </c>
      <c r="AT21" s="22">
        <f t="shared" si="41"/>
        <v>0.385</v>
      </c>
      <c r="AU21" s="23">
        <f t="shared" si="29"/>
        <v>1223.6</v>
      </c>
      <c r="AV21" s="23">
        <f t="shared" si="30"/>
        <v>24.23</v>
      </c>
      <c r="AW21" s="23">
        <f t="shared" si="31"/>
        <v>0.83</v>
      </c>
      <c r="AX21" s="23">
        <f t="shared" si="32"/>
        <v>0.98</v>
      </c>
      <c r="AY21" s="23">
        <f t="shared" si="33"/>
        <v>471.1</v>
      </c>
      <c r="AZ21" s="23">
        <f>(AY21*1000)/((3.1415/6)*1000*('[1]PM number'!$F$25*0.000000001)^3*EXP(4.5*1.8^2))</f>
        <v>6.901382420922183E+18</v>
      </c>
    </row>
    <row r="22" spans="1:52" ht="25.5">
      <c r="A22" s="24" t="s">
        <v>119</v>
      </c>
      <c r="B22" s="25" t="s">
        <v>113</v>
      </c>
      <c r="C22" s="24" t="s">
        <v>120</v>
      </c>
      <c r="D22" s="32" t="s">
        <v>121</v>
      </c>
      <c r="E22" s="26">
        <v>4380</v>
      </c>
      <c r="F22" s="26">
        <v>2</v>
      </c>
      <c r="G22" s="27">
        <v>6</v>
      </c>
      <c r="H22" s="28">
        <v>5</v>
      </c>
      <c r="I22" s="17">
        <f t="shared" si="42"/>
        <v>10.8</v>
      </c>
      <c r="J22" s="17">
        <f t="shared" si="43"/>
        <v>5</v>
      </c>
      <c r="K22" s="17">
        <f t="shared" si="44"/>
        <v>9.3</v>
      </c>
      <c r="L22" s="17">
        <f t="shared" si="45"/>
        <v>11.7</v>
      </c>
      <c r="M22" s="18">
        <f t="shared" si="46"/>
        <v>0.035849117885385695</v>
      </c>
      <c r="N22" s="17">
        <f t="shared" si="38"/>
        <v>0.164</v>
      </c>
      <c r="O22" s="17">
        <f>(N22*1000)/((3.1415/6)*1000*('[1]PM number'!C20*0.000000001)^3*EXP(4.5*1.8^2))</f>
        <v>17692547892751478</v>
      </c>
      <c r="P22" s="19">
        <v>66</v>
      </c>
      <c r="Q22" s="19">
        <v>3</v>
      </c>
      <c r="R22" s="20">
        <f t="shared" si="47"/>
        <v>29.3</v>
      </c>
      <c r="S22" s="20">
        <f t="shared" si="48"/>
        <v>19.5</v>
      </c>
      <c r="T22" s="20">
        <f t="shared" si="49"/>
        <v>0.7</v>
      </c>
      <c r="U22" s="20">
        <f t="shared" si="50"/>
        <v>0.8</v>
      </c>
      <c r="V22" s="20">
        <f t="shared" si="39"/>
        <v>0.389</v>
      </c>
      <c r="W22" s="17">
        <f>(V22*1000)/((3.1415/6)*1000*('[1]PM number'!$E$20*0.000000001)^3*EXP(4.5*1.8^2))</f>
        <v>11066711289581276</v>
      </c>
      <c r="X22">
        <f t="shared" si="51"/>
        <v>0.16260079610137054</v>
      </c>
      <c r="Y22" s="19">
        <v>32</v>
      </c>
      <c r="Z22" s="19">
        <v>5.5</v>
      </c>
      <c r="AA22" s="20">
        <f t="shared" si="52"/>
        <v>29</v>
      </c>
      <c r="AB22" s="20">
        <f t="shared" si="53"/>
        <v>12.9</v>
      </c>
      <c r="AC22" s="20">
        <f t="shared" si="54"/>
        <v>1.53</v>
      </c>
      <c r="AD22" s="20">
        <f t="shared" si="55"/>
        <v>1.8</v>
      </c>
      <c r="AE22" s="20">
        <f t="shared" si="40"/>
        <v>0.343</v>
      </c>
      <c r="AF22" s="17">
        <f>(AE22*1000)/((3.1415/6)*1000*('[1]PM number'!$D$20*0.000000001)^3*EXP(4.5*1.8^2))</f>
        <v>35925618848084604</v>
      </c>
      <c r="AG22" s="17">
        <f t="shared" si="56"/>
        <v>0.08802144639494709</v>
      </c>
      <c r="AH22" s="21">
        <f t="shared" si="34"/>
        <v>138.2</v>
      </c>
      <c r="AI22" s="21">
        <f t="shared" si="35"/>
        <v>1998.9</v>
      </c>
      <c r="AJ22" s="21">
        <f t="shared" si="20"/>
        <v>330.6</v>
      </c>
      <c r="AK22" s="21">
        <f t="shared" si="36"/>
        <v>404</v>
      </c>
      <c r="AL22" s="21">
        <f t="shared" si="37"/>
        <v>46.2</v>
      </c>
      <c r="AM22" s="21">
        <f t="shared" si="23"/>
        <v>64684878030417360</v>
      </c>
      <c r="AN22" s="19">
        <v>1</v>
      </c>
      <c r="AO22" s="19">
        <v>62</v>
      </c>
      <c r="AP22" s="22">
        <f t="shared" si="57"/>
        <v>0.1504743303464783</v>
      </c>
      <c r="AQ22" s="22">
        <f t="shared" si="58"/>
        <v>18.8</v>
      </c>
      <c r="AR22" s="22">
        <f t="shared" si="59"/>
        <v>0.75</v>
      </c>
      <c r="AS22" s="22">
        <f t="shared" si="60"/>
        <v>0.9</v>
      </c>
      <c r="AT22" s="22">
        <f t="shared" si="41"/>
        <v>0.394</v>
      </c>
      <c r="AU22" s="23">
        <f t="shared" si="29"/>
        <v>1083.4</v>
      </c>
      <c r="AV22" s="23">
        <f t="shared" si="30"/>
        <v>20.37</v>
      </c>
      <c r="AW22" s="23">
        <f t="shared" si="31"/>
        <v>0.81</v>
      </c>
      <c r="AX22" s="23">
        <f t="shared" si="32"/>
        <v>0.98</v>
      </c>
      <c r="AY22" s="23">
        <f t="shared" si="33"/>
        <v>426.9</v>
      </c>
      <c r="AZ22" s="23">
        <f>(AY22*1000)/((3.1415/6)*1000*('[1]PM number'!$F$25*0.000000001)^3*EXP(4.5*1.8^2))</f>
        <v>6.253874242181447E+18</v>
      </c>
    </row>
    <row r="23" spans="1:52" ht="25.5">
      <c r="A23" s="24" t="s">
        <v>109</v>
      </c>
      <c r="B23" s="25" t="s">
        <v>122</v>
      </c>
      <c r="C23" s="24" t="s">
        <v>123</v>
      </c>
      <c r="D23" s="24" t="s">
        <v>124</v>
      </c>
      <c r="E23" s="26">
        <v>3925</v>
      </c>
      <c r="F23" s="26">
        <v>2</v>
      </c>
      <c r="G23" s="27">
        <v>6</v>
      </c>
      <c r="H23" s="28">
        <v>5</v>
      </c>
      <c r="I23" s="17">
        <f t="shared" si="42"/>
        <v>10.2</v>
      </c>
      <c r="J23" s="17">
        <f t="shared" si="43"/>
        <v>4.7</v>
      </c>
      <c r="K23" s="17">
        <f t="shared" si="44"/>
        <v>10.47</v>
      </c>
      <c r="L23" s="17">
        <f t="shared" si="45"/>
        <v>13.2</v>
      </c>
      <c r="M23" s="18">
        <f t="shared" si="46"/>
        <v>0.03395261838465178</v>
      </c>
      <c r="N23" s="17">
        <f t="shared" si="38"/>
        <v>0.159</v>
      </c>
      <c r="O23" s="17">
        <f>(N23*1000)/((3.1415/6)*1000*('[1]PM number'!C20*0.000000001)^3*EXP(4.5*1.8^2))</f>
        <v>17153140944801738</v>
      </c>
      <c r="P23" s="19">
        <v>66</v>
      </c>
      <c r="Q23" s="19">
        <v>3</v>
      </c>
      <c r="R23" s="20">
        <f t="shared" si="47"/>
        <v>25.8</v>
      </c>
      <c r="S23" s="20">
        <f t="shared" si="48"/>
        <v>18.3</v>
      </c>
      <c r="T23" s="20">
        <f t="shared" si="49"/>
        <v>0.79</v>
      </c>
      <c r="U23" s="20">
        <f t="shared" si="50"/>
        <v>0.9</v>
      </c>
      <c r="V23" s="20">
        <f t="shared" si="39"/>
        <v>0.397</v>
      </c>
      <c r="W23" s="17">
        <f>(V23*1000)/((3.1415/6)*1000*('[1]PM number'!$E$20*0.000000001)^3*EXP(4.5*1.8^2))</f>
        <v>11294304323814310</v>
      </c>
      <c r="X23">
        <f t="shared" si="51"/>
        <v>0.14346599468517443</v>
      </c>
      <c r="Y23" s="19">
        <v>32</v>
      </c>
      <c r="Z23" s="19">
        <v>5.5</v>
      </c>
      <c r="AA23" s="20">
        <f t="shared" si="52"/>
        <v>26.8</v>
      </c>
      <c r="AB23" s="20">
        <f t="shared" si="53"/>
        <v>12.1</v>
      </c>
      <c r="AC23" s="20">
        <f t="shared" si="54"/>
        <v>1.72</v>
      </c>
      <c r="AD23" s="20">
        <f t="shared" si="55"/>
        <v>2.1</v>
      </c>
      <c r="AE23" s="20">
        <f t="shared" si="40"/>
        <v>0.327</v>
      </c>
      <c r="AF23" s="17">
        <f>(AE23*1000)/((3.1415/6)*1000*('[1]PM number'!$D$20*0.000000001)^3*EXP(4.5*1.8^2))</f>
        <v>34249788231264332</v>
      </c>
      <c r="AG23" s="17">
        <f t="shared" si="56"/>
        <v>0.08134985829908394</v>
      </c>
      <c r="AH23" s="21">
        <f t="shared" si="34"/>
        <v>125.6</v>
      </c>
      <c r="AI23" s="21">
        <f t="shared" si="35"/>
        <v>1688.7</v>
      </c>
      <c r="AJ23" s="21">
        <f t="shared" si="20"/>
        <v>346.5</v>
      </c>
      <c r="AK23" s="21">
        <f t="shared" si="36"/>
        <v>428.3</v>
      </c>
      <c r="AL23" s="21">
        <f t="shared" si="37"/>
        <v>41.3</v>
      </c>
      <c r="AM23" s="21">
        <f t="shared" si="23"/>
        <v>62697233499880380</v>
      </c>
      <c r="AN23" s="19">
        <v>1</v>
      </c>
      <c r="AO23" s="19">
        <v>62</v>
      </c>
      <c r="AP23" s="22">
        <f t="shared" si="57"/>
        <v>0.1357576326779423</v>
      </c>
      <c r="AQ23" s="22">
        <f t="shared" si="58"/>
        <v>17.7</v>
      </c>
      <c r="AR23" s="22">
        <f t="shared" si="59"/>
        <v>0.84</v>
      </c>
      <c r="AS23" s="22">
        <f t="shared" si="60"/>
        <v>1</v>
      </c>
      <c r="AT23" s="22">
        <f t="shared" si="41"/>
        <v>0.397</v>
      </c>
      <c r="AU23" s="23">
        <f t="shared" si="29"/>
        <v>977.5</v>
      </c>
      <c r="AV23" s="23">
        <f t="shared" si="30"/>
        <v>17.3</v>
      </c>
      <c r="AW23" s="23">
        <f t="shared" si="31"/>
        <v>0.82</v>
      </c>
      <c r="AX23" s="23">
        <f t="shared" si="32"/>
        <v>0.98</v>
      </c>
      <c r="AY23" s="23">
        <f t="shared" si="33"/>
        <v>388</v>
      </c>
      <c r="AZ23" s="23">
        <f>(AY23*1000)/((3.1415/6)*1000*('[1]PM number'!$F$25*0.000000001)^3*EXP(4.5*1.8^2))</f>
        <v>5.684008446864375E+18</v>
      </c>
    </row>
    <row r="24" spans="1:52" ht="38.25">
      <c r="A24" s="24" t="s">
        <v>125</v>
      </c>
      <c r="B24" s="25" t="s">
        <v>126</v>
      </c>
      <c r="C24" s="24" t="s">
        <v>127</v>
      </c>
      <c r="D24" s="38" t="s">
        <v>128</v>
      </c>
      <c r="E24" s="26">
        <v>1800</v>
      </c>
      <c r="F24" s="26">
        <v>2</v>
      </c>
      <c r="G24" s="27">
        <v>6</v>
      </c>
      <c r="H24" s="28">
        <v>5</v>
      </c>
      <c r="I24" s="17">
        <f t="shared" si="42"/>
        <v>7.1</v>
      </c>
      <c r="J24" s="17">
        <f t="shared" si="43"/>
        <v>3</v>
      </c>
      <c r="K24" s="17">
        <f t="shared" si="44"/>
        <v>24.3</v>
      </c>
      <c r="L24" s="17">
        <f t="shared" si="45"/>
        <v>31.3</v>
      </c>
      <c r="M24" s="18">
        <f t="shared" si="46"/>
        <v>0.023647963624664203</v>
      </c>
      <c r="N24" s="17">
        <f t="shared" si="38"/>
        <v>0.131</v>
      </c>
      <c r="O24" s="17">
        <f>(N24*1000)/((3.1415/6)*1000*('[1]PM number'!C20*0.000000001)^3*EXP(4.5*1.8^2))</f>
        <v>14132462036283194</v>
      </c>
      <c r="P24" s="19">
        <v>66</v>
      </c>
      <c r="Q24" s="19">
        <v>3</v>
      </c>
      <c r="R24" s="20">
        <f t="shared" si="47"/>
        <v>14.1</v>
      </c>
      <c r="S24" s="20">
        <f t="shared" si="48"/>
        <v>11.8</v>
      </c>
      <c r="T24" s="20">
        <f t="shared" si="49"/>
        <v>1.82</v>
      </c>
      <c r="U24" s="20">
        <f t="shared" si="50"/>
        <v>2.2</v>
      </c>
      <c r="V24" s="20">
        <f t="shared" si="39"/>
        <v>0.319</v>
      </c>
      <c r="W24" s="17">
        <f>(V24*1000)/((3.1415/6)*1000*('[1]PM number'!$E$20*0.000000001)^3*EXP(4.5*1.8^2))</f>
        <v>9075272240042230</v>
      </c>
      <c r="X24" s="31">
        <f t="shared" si="51"/>
        <v>0.07832190352343844</v>
      </c>
      <c r="Y24" s="19">
        <v>32</v>
      </c>
      <c r="Z24" s="19">
        <v>5.5</v>
      </c>
      <c r="AA24" s="20">
        <f t="shared" si="52"/>
        <v>17.4</v>
      </c>
      <c r="AB24" s="20">
        <f t="shared" si="53"/>
        <v>7.8</v>
      </c>
      <c r="AC24" s="20">
        <f t="shared" si="54"/>
        <v>3.98</v>
      </c>
      <c r="AD24" s="20">
        <f t="shared" si="55"/>
        <v>4.9</v>
      </c>
      <c r="AE24" s="20">
        <f t="shared" si="40"/>
        <v>0.226</v>
      </c>
      <c r="AF24" s="17">
        <f>(AE24*1000)/((3.1415/6)*1000*('[1]PM number'!$D$20*0.000000001)^3*EXP(4.5*1.8^2))</f>
        <v>23671107462586356</v>
      </c>
      <c r="AG24" s="17">
        <f t="shared" si="56"/>
        <v>0.05270453998468351</v>
      </c>
      <c r="AH24" s="21">
        <f t="shared" si="34"/>
        <v>77.2</v>
      </c>
      <c r="AI24" s="21">
        <f t="shared" si="35"/>
        <v>646.8</v>
      </c>
      <c r="AJ24" s="21">
        <f t="shared" si="20"/>
        <v>534.9</v>
      </c>
      <c r="AK24" s="21">
        <f t="shared" si="36"/>
        <v>677</v>
      </c>
      <c r="AL24" s="21">
        <f t="shared" si="37"/>
        <v>18.7</v>
      </c>
      <c r="AM24" s="21">
        <f t="shared" si="23"/>
        <v>46878841738911780</v>
      </c>
      <c r="AN24" s="19">
        <v>1</v>
      </c>
      <c r="AO24" s="19">
        <v>62</v>
      </c>
      <c r="AP24" s="22">
        <f t="shared" si="57"/>
        <v>0.07518369699201115</v>
      </c>
      <c r="AQ24" s="22">
        <f t="shared" si="58"/>
        <v>11.4</v>
      </c>
      <c r="AR24" s="22">
        <f t="shared" si="59"/>
        <v>1.95</v>
      </c>
      <c r="AS24" s="22">
        <f t="shared" si="60"/>
        <v>2.3</v>
      </c>
      <c r="AT24" s="22">
        <f t="shared" si="41"/>
        <v>0.31</v>
      </c>
      <c r="AU24" s="23">
        <f t="shared" si="29"/>
        <v>541.3</v>
      </c>
      <c r="AV24" s="23">
        <f t="shared" si="30"/>
        <v>6.17</v>
      </c>
      <c r="AW24" s="23">
        <f t="shared" si="31"/>
        <v>1.06</v>
      </c>
      <c r="AX24" s="23">
        <f t="shared" si="32"/>
        <v>1.25</v>
      </c>
      <c r="AY24" s="23">
        <f t="shared" si="33"/>
        <v>167.8</v>
      </c>
      <c r="AZ24" s="23">
        <f>(AY24*1000)/((3.1415/6)*1000*('[1]PM number'!$F$25*0.000000001)^3*EXP(4.5*1.8^2))</f>
        <v>2.4581871582057784E+18</v>
      </c>
    </row>
    <row r="25" spans="1:52" ht="38.25">
      <c r="A25" s="24" t="s">
        <v>125</v>
      </c>
      <c r="B25" s="25" t="s">
        <v>75</v>
      </c>
      <c r="C25" s="24" t="s">
        <v>129</v>
      </c>
      <c r="D25" s="32" t="s">
        <v>130</v>
      </c>
      <c r="E25" s="26">
        <v>1622</v>
      </c>
      <c r="F25" s="26">
        <v>2</v>
      </c>
      <c r="G25" s="27">
        <v>6</v>
      </c>
      <c r="H25" s="28">
        <v>5</v>
      </c>
      <c r="I25" s="17">
        <f t="shared" si="42"/>
        <v>6.8</v>
      </c>
      <c r="J25" s="17">
        <f t="shared" si="43"/>
        <v>2.8</v>
      </c>
      <c r="K25" s="17">
        <f t="shared" si="44"/>
        <v>27.2</v>
      </c>
      <c r="L25" s="17">
        <f t="shared" si="45"/>
        <v>35.1</v>
      </c>
      <c r="M25" s="18">
        <f t="shared" si="46"/>
        <v>0.022659204214717947</v>
      </c>
      <c r="N25" s="17">
        <f t="shared" si="38"/>
        <v>0.128</v>
      </c>
      <c r="O25" s="17">
        <f>(N25*1000)/((3.1415/6)*1000*('[1]PM number'!C20*0.000000001)^3*EXP(4.5*1.8^2))</f>
        <v>13808817867513348</v>
      </c>
      <c r="P25" s="19">
        <v>66</v>
      </c>
      <c r="Q25" s="19">
        <v>3</v>
      </c>
      <c r="R25" s="20">
        <f t="shared" si="47"/>
        <v>13.2</v>
      </c>
      <c r="S25" s="20">
        <f t="shared" si="48"/>
        <v>11.1</v>
      </c>
      <c r="T25" s="20">
        <f t="shared" si="49"/>
        <v>2.04</v>
      </c>
      <c r="U25" s="20">
        <f t="shared" si="50"/>
        <v>2.5</v>
      </c>
      <c r="V25" s="20">
        <f t="shared" si="39"/>
        <v>0.304</v>
      </c>
      <c r="W25" s="17">
        <f>(V25*1000)/((3.1415/6)*1000*('[1]PM number'!$E$20*0.000000001)^3*EXP(4.5*1.8^2))</f>
        <v>8648535300855291</v>
      </c>
      <c r="X25">
        <f t="shared" si="51"/>
        <v>0.07323737638226613</v>
      </c>
      <c r="Y25" s="19">
        <v>32</v>
      </c>
      <c r="Z25" s="19">
        <v>5.5</v>
      </c>
      <c r="AA25" s="20">
        <f t="shared" si="52"/>
        <v>16.5</v>
      </c>
      <c r="AB25" s="20">
        <f t="shared" si="53"/>
        <v>7.4</v>
      </c>
      <c r="AC25" s="20">
        <f t="shared" si="54"/>
        <v>4.46</v>
      </c>
      <c r="AD25" s="20">
        <f t="shared" si="55"/>
        <v>5.5</v>
      </c>
      <c r="AE25" s="20">
        <f t="shared" si="40"/>
        <v>0.215</v>
      </c>
      <c r="AF25" s="17">
        <f>(AE25*1000)/((3.1415/6)*1000*('[1]PM number'!$D$20*0.000000001)^3*EXP(4.5*1.8^2))</f>
        <v>22518973913522420</v>
      </c>
      <c r="AG25" s="17">
        <f t="shared" si="56"/>
        <v>0.05011014283051654</v>
      </c>
      <c r="AH25" s="21">
        <f t="shared" si="34"/>
        <v>73</v>
      </c>
      <c r="AI25" s="21">
        <f t="shared" si="35"/>
        <v>575.3</v>
      </c>
      <c r="AJ25" s="21">
        <f t="shared" si="20"/>
        <v>571</v>
      </c>
      <c r="AK25" s="21">
        <f t="shared" si="36"/>
        <v>724.9</v>
      </c>
      <c r="AL25" s="21">
        <f t="shared" si="37"/>
        <v>16.9</v>
      </c>
      <c r="AM25" s="21">
        <f t="shared" si="23"/>
        <v>44976327081891060</v>
      </c>
      <c r="AN25" s="19">
        <v>1</v>
      </c>
      <c r="AO25" s="19">
        <v>62</v>
      </c>
      <c r="AP25" s="22">
        <f t="shared" si="57"/>
        <v>0.0705061881347132</v>
      </c>
      <c r="AQ25" s="22">
        <f t="shared" si="58"/>
        <v>10.7</v>
      </c>
      <c r="AR25" s="22">
        <f t="shared" si="59"/>
        <v>2.18</v>
      </c>
      <c r="AS25" s="22">
        <f t="shared" si="60"/>
        <v>2.6</v>
      </c>
      <c r="AT25" s="22">
        <f t="shared" si="41"/>
        <v>0.295</v>
      </c>
      <c r="AU25" s="23">
        <f t="shared" si="29"/>
        <v>507.6</v>
      </c>
      <c r="AV25" s="23">
        <f t="shared" si="30"/>
        <v>5.43</v>
      </c>
      <c r="AW25" s="23">
        <f t="shared" si="31"/>
        <v>1.11</v>
      </c>
      <c r="AX25" s="23">
        <f t="shared" si="32"/>
        <v>1.32</v>
      </c>
      <c r="AY25" s="23">
        <f t="shared" si="33"/>
        <v>149.8</v>
      </c>
      <c r="AZ25" s="23">
        <f>(AY25*1000)/((3.1415/6)*1000*('[1]PM number'!$F$25*0.000000001)^3*EXP(4.5*1.8^2))</f>
        <v>2.1944960446914516E+18</v>
      </c>
    </row>
    <row r="26" spans="1:52" ht="38.25">
      <c r="A26" s="39" t="s">
        <v>131</v>
      </c>
      <c r="B26" s="25" t="s">
        <v>57</v>
      </c>
      <c r="C26" s="24" t="s">
        <v>132</v>
      </c>
      <c r="D26" s="24" t="s">
        <v>133</v>
      </c>
      <c r="E26" s="26">
        <v>1219</v>
      </c>
      <c r="F26" s="26">
        <v>2</v>
      </c>
      <c r="G26" s="27">
        <v>6</v>
      </c>
      <c r="H26" s="28">
        <v>5</v>
      </c>
      <c r="I26" s="17">
        <f t="shared" si="42"/>
        <v>6.1</v>
      </c>
      <c r="J26" s="17">
        <f t="shared" si="43"/>
        <v>2.4</v>
      </c>
      <c r="K26" s="17">
        <f t="shared" si="44"/>
        <v>37.02</v>
      </c>
      <c r="L26" s="17">
        <f t="shared" si="45"/>
        <v>48.3</v>
      </c>
      <c r="M26" s="18">
        <f t="shared" si="46"/>
        <v>0.020338399346165374</v>
      </c>
      <c r="N26" s="17">
        <f t="shared" si="38"/>
        <v>0.123</v>
      </c>
      <c r="O26" s="17">
        <f>(N26*1000)/((3.1415/6)*1000*('[1]PM number'!C20*0.000000001)^3*EXP(4.5*1.8^2))</f>
        <v>13269410919563608</v>
      </c>
      <c r="P26" s="19">
        <v>66</v>
      </c>
      <c r="Q26" s="19">
        <v>3</v>
      </c>
      <c r="R26" s="20">
        <f t="shared" si="47"/>
        <v>11.2</v>
      </c>
      <c r="S26" s="20">
        <f t="shared" si="48"/>
        <v>9.4</v>
      </c>
      <c r="T26" s="20">
        <f t="shared" si="49"/>
        <v>2.78</v>
      </c>
      <c r="U26" s="20">
        <f t="shared" si="50"/>
        <v>3.4</v>
      </c>
      <c r="V26" s="20">
        <f t="shared" si="39"/>
        <v>0.265</v>
      </c>
      <c r="W26" s="17">
        <f>(V26*1000)/((3.1415/6)*1000*('[1]PM number'!$E$20*0.000000001)^3*EXP(4.5*1.8^2))</f>
        <v>7539019258969250</v>
      </c>
      <c r="X26">
        <f t="shared" si="51"/>
        <v>0.06227523960855172</v>
      </c>
      <c r="Y26" s="19">
        <v>32</v>
      </c>
      <c r="Z26" s="19">
        <v>5.5</v>
      </c>
      <c r="AA26" s="20">
        <f t="shared" si="52"/>
        <v>14.4</v>
      </c>
      <c r="AB26" s="20">
        <f t="shared" si="53"/>
        <v>6.3</v>
      </c>
      <c r="AC26" s="20">
        <f t="shared" si="54"/>
        <v>6.07</v>
      </c>
      <c r="AD26" s="20">
        <f t="shared" si="55"/>
        <v>7.5</v>
      </c>
      <c r="AE26" s="20">
        <f t="shared" si="40"/>
        <v>0.191</v>
      </c>
      <c r="AF26" s="17">
        <f>(AE26*1000)/((3.1415/6)*1000*('[1]PM number'!$D$20*0.000000001)^3*EXP(4.5*1.8^2))</f>
        <v>20005227988292010</v>
      </c>
      <c r="AG26" s="17">
        <f t="shared" si="56"/>
        <v>0.04359886583614302</v>
      </c>
      <c r="AH26" s="21">
        <f t="shared" si="34"/>
        <v>63.4</v>
      </c>
      <c r="AI26" s="21">
        <f t="shared" si="35"/>
        <v>421.3</v>
      </c>
      <c r="AJ26" s="21">
        <f t="shared" si="20"/>
        <v>688.7</v>
      </c>
      <c r="AK26" s="21">
        <f t="shared" si="36"/>
        <v>881.4</v>
      </c>
      <c r="AL26" s="21">
        <f t="shared" si="37"/>
        <v>12.9</v>
      </c>
      <c r="AM26" s="21">
        <f t="shared" si="23"/>
        <v>40813658166824860</v>
      </c>
      <c r="AN26" s="19">
        <v>1</v>
      </c>
      <c r="AO26" s="19">
        <v>62</v>
      </c>
      <c r="AP26" s="22">
        <f t="shared" si="57"/>
        <v>0.06029185743242736</v>
      </c>
      <c r="AQ26" s="22">
        <f t="shared" si="58"/>
        <v>9.1</v>
      </c>
      <c r="AR26" s="22">
        <f t="shared" si="59"/>
        <v>2.97</v>
      </c>
      <c r="AS26" s="22">
        <f t="shared" si="60"/>
        <v>3.6</v>
      </c>
      <c r="AT26" s="22">
        <f t="shared" si="41"/>
        <v>0.257</v>
      </c>
      <c r="AU26" s="23">
        <f t="shared" si="29"/>
        <v>434.1</v>
      </c>
      <c r="AV26" s="23">
        <f t="shared" si="30"/>
        <v>3.95</v>
      </c>
      <c r="AW26" s="23">
        <f t="shared" si="31"/>
        <v>1.29</v>
      </c>
      <c r="AX26" s="23">
        <f t="shared" si="32"/>
        <v>1.56</v>
      </c>
      <c r="AY26" s="23">
        <f t="shared" si="33"/>
        <v>111.6</v>
      </c>
      <c r="AZ26" s="23">
        <f>(AY26*1000)/((3.1415/6)*1000*('[1]PM number'!$F$25*0.000000001)^3*EXP(4.5*1.8^2))</f>
        <v>1.634884903788825E+18</v>
      </c>
    </row>
    <row r="27" spans="1:52" ht="25.5">
      <c r="A27" s="24" t="s">
        <v>134</v>
      </c>
      <c r="B27" s="25"/>
      <c r="C27" s="24" t="s">
        <v>135</v>
      </c>
      <c r="D27" s="24" t="s">
        <v>136</v>
      </c>
      <c r="E27" s="26">
        <v>1261</v>
      </c>
      <c r="F27" s="26">
        <v>2</v>
      </c>
      <c r="G27" s="27">
        <v>6</v>
      </c>
      <c r="H27" s="28">
        <v>5</v>
      </c>
      <c r="I27" s="17">
        <f t="shared" si="42"/>
        <v>6.2</v>
      </c>
      <c r="J27" s="17">
        <f t="shared" si="43"/>
        <v>2.5</v>
      </c>
      <c r="K27" s="17">
        <f t="shared" si="44"/>
        <v>35.69</v>
      </c>
      <c r="L27" s="17">
        <f t="shared" si="45"/>
        <v>46.5</v>
      </c>
      <c r="M27" s="18">
        <f t="shared" si="46"/>
        <v>0.02058573665129764</v>
      </c>
      <c r="N27" s="17">
        <f t="shared" si="38"/>
        <v>0.123</v>
      </c>
      <c r="O27" s="17">
        <f>(N27*1000)/((3.1415/6)*1000*('[1]PM number'!C20*0.000000001)^3*EXP(4.5*1.8^2))</f>
        <v>13269410919563608</v>
      </c>
      <c r="P27" s="19">
        <v>66</v>
      </c>
      <c r="Q27" s="19">
        <v>3</v>
      </c>
      <c r="R27" s="20">
        <f t="shared" si="47"/>
        <v>11.4</v>
      </c>
      <c r="S27" s="20">
        <f t="shared" si="48"/>
        <v>9.6</v>
      </c>
      <c r="T27" s="20">
        <f t="shared" si="49"/>
        <v>2.68</v>
      </c>
      <c r="U27" s="20">
        <f t="shared" si="50"/>
        <v>3.2</v>
      </c>
      <c r="V27" s="20">
        <f t="shared" si="39"/>
        <v>0.269</v>
      </c>
      <c r="W27" s="17">
        <f>(V27*1000)/((3.1415/6)*1000*('[1]PM number'!$E$20*0.000000001)^3*EXP(4.5*1.8^2))</f>
        <v>7652815776085767</v>
      </c>
      <c r="X27" s="31">
        <f t="shared" si="51"/>
        <v>0.06339981716159722</v>
      </c>
      <c r="Y27" s="19">
        <v>32</v>
      </c>
      <c r="Z27" s="19">
        <v>5.5</v>
      </c>
      <c r="AA27" s="20">
        <f t="shared" si="52"/>
        <v>14.6</v>
      </c>
      <c r="AB27" s="20">
        <f t="shared" si="53"/>
        <v>6.4</v>
      </c>
      <c r="AC27" s="20">
        <f t="shared" si="54"/>
        <v>5.85</v>
      </c>
      <c r="AD27" s="20">
        <f t="shared" si="55"/>
        <v>7.2</v>
      </c>
      <c r="AE27" s="20">
        <f t="shared" si="40"/>
        <v>0.193</v>
      </c>
      <c r="AF27" s="17">
        <f>(AE27*1000)/((3.1415/6)*1000*('[1]PM number'!$D$20*0.000000001)^3*EXP(4.5*1.8^2))</f>
        <v>20214706815394544</v>
      </c>
      <c r="AG27" s="17">
        <f t="shared" si="56"/>
        <v>0.044329834793277</v>
      </c>
      <c r="AH27" s="21">
        <f t="shared" si="34"/>
        <v>64.4</v>
      </c>
      <c r="AI27" s="21">
        <f t="shared" si="35"/>
        <v>436.8</v>
      </c>
      <c r="AJ27" s="21">
        <f t="shared" si="20"/>
        <v>674.5</v>
      </c>
      <c r="AK27" s="21">
        <f t="shared" si="36"/>
        <v>859.8</v>
      </c>
      <c r="AL27" s="21">
        <f t="shared" si="37"/>
        <v>13.3</v>
      </c>
      <c r="AM27" s="21">
        <f t="shared" si="23"/>
        <v>41136933511043920</v>
      </c>
      <c r="AN27" s="19">
        <v>1</v>
      </c>
      <c r="AO27" s="19">
        <v>62</v>
      </c>
      <c r="AP27" s="22">
        <f t="shared" si="57"/>
        <v>0.06135241483264053</v>
      </c>
      <c r="AQ27" s="22">
        <f t="shared" si="58"/>
        <v>9.3</v>
      </c>
      <c r="AR27" s="22">
        <f t="shared" si="59"/>
        <v>2.86</v>
      </c>
      <c r="AS27" s="22">
        <f t="shared" si="60"/>
        <v>3.5</v>
      </c>
      <c r="AT27" s="22">
        <f t="shared" si="41"/>
        <v>0.261</v>
      </c>
      <c r="AU27" s="23">
        <f t="shared" si="29"/>
        <v>441.7</v>
      </c>
      <c r="AV27" s="23">
        <f t="shared" si="30"/>
        <v>4.11</v>
      </c>
      <c r="AW27" s="23">
        <f t="shared" si="31"/>
        <v>1.26</v>
      </c>
      <c r="AX27" s="23">
        <f t="shared" si="32"/>
        <v>1.55</v>
      </c>
      <c r="AY27" s="23">
        <f t="shared" si="33"/>
        <v>115.3</v>
      </c>
      <c r="AZ27" s="23">
        <f>(AY27*1000)/((3.1415/6)*1000*('[1]PM number'!$F$25*0.000000001)^3*EXP(4.5*1.8^2))</f>
        <v>1.6890880771223258E+18</v>
      </c>
    </row>
    <row r="28" spans="1:52" ht="12.75">
      <c r="A28" s="39" t="s">
        <v>137</v>
      </c>
      <c r="B28" s="25" t="s">
        <v>138</v>
      </c>
      <c r="C28" s="24" t="s">
        <v>139</v>
      </c>
      <c r="D28" s="24" t="s">
        <v>140</v>
      </c>
      <c r="E28" s="26">
        <v>1500</v>
      </c>
      <c r="F28" s="26">
        <v>2</v>
      </c>
      <c r="G28" s="27">
        <v>6</v>
      </c>
      <c r="H28" s="28">
        <v>5</v>
      </c>
      <c r="I28" s="17">
        <f t="shared" si="42"/>
        <v>6.6</v>
      </c>
      <c r="J28" s="17">
        <f t="shared" si="43"/>
        <v>2.7</v>
      </c>
      <c r="K28" s="17">
        <f t="shared" si="44"/>
        <v>29.59</v>
      </c>
      <c r="L28" s="17">
        <f t="shared" si="45"/>
        <v>38.3</v>
      </c>
      <c r="M28" s="18">
        <f t="shared" si="46"/>
        <v>0.02196884412969611</v>
      </c>
      <c r="N28" s="17">
        <f t="shared" si="38"/>
        <v>0.127</v>
      </c>
      <c r="O28" s="17">
        <f>(N28*1000)/((3.1415/6)*1000*('[1]PM number'!C20*0.000000001)^3*EXP(4.5*1.8^2))</f>
        <v>13700936477923400</v>
      </c>
      <c r="P28" s="19">
        <v>66</v>
      </c>
      <c r="Q28" s="19">
        <v>3</v>
      </c>
      <c r="R28" s="20">
        <f t="shared" si="47"/>
        <v>12.6</v>
      </c>
      <c r="S28" s="20">
        <f t="shared" si="48"/>
        <v>10.6</v>
      </c>
      <c r="T28" s="20">
        <f t="shared" si="49"/>
        <v>2.22</v>
      </c>
      <c r="U28" s="20">
        <f t="shared" si="50"/>
        <v>2.7</v>
      </c>
      <c r="V28" s="20">
        <f t="shared" si="39"/>
        <v>0.293</v>
      </c>
      <c r="W28" s="17">
        <f>(V28*1000)/((3.1415/6)*1000*('[1]PM number'!$E$20*0.000000001)^3*EXP(4.5*1.8^2))</f>
        <v>8335594878784869</v>
      </c>
      <c r="X28" s="31">
        <f t="shared" si="51"/>
        <v>0.06985512689919164</v>
      </c>
      <c r="Y28" s="19">
        <v>32</v>
      </c>
      <c r="Z28" s="19">
        <v>5.5</v>
      </c>
      <c r="AA28" s="20">
        <f t="shared" si="52"/>
        <v>15.9</v>
      </c>
      <c r="AB28" s="20">
        <f t="shared" si="53"/>
        <v>7</v>
      </c>
      <c r="AC28" s="20">
        <f t="shared" si="54"/>
        <v>4.85</v>
      </c>
      <c r="AD28" s="20">
        <f t="shared" si="55"/>
        <v>6</v>
      </c>
      <c r="AE28" s="20">
        <f t="shared" si="40"/>
        <v>0.208</v>
      </c>
      <c r="AF28" s="17">
        <f>(AE28*1000)/((3.1415/6)*1000*('[1]PM number'!$D$20*0.000000001)^3*EXP(4.5*1.8^2))</f>
        <v>21785798018663548</v>
      </c>
      <c r="AG28" s="17">
        <f t="shared" si="56"/>
        <v>0.04824571512061953</v>
      </c>
      <c r="AH28" s="21">
        <f t="shared" si="34"/>
        <v>70.2</v>
      </c>
      <c r="AI28" s="21">
        <f t="shared" si="35"/>
        <v>525.4</v>
      </c>
      <c r="AJ28" s="21">
        <f t="shared" si="20"/>
        <v>600.8</v>
      </c>
      <c r="AK28" s="21">
        <f t="shared" si="36"/>
        <v>764.4</v>
      </c>
      <c r="AL28" s="21">
        <f t="shared" si="37"/>
        <v>15.7</v>
      </c>
      <c r="AM28" s="21">
        <f t="shared" si="23"/>
        <v>43822329375371816</v>
      </c>
      <c r="AN28" s="19">
        <v>1</v>
      </c>
      <c r="AO28" s="19">
        <v>62</v>
      </c>
      <c r="AP28" s="22">
        <f t="shared" si="57"/>
        <v>0.0673798946734073</v>
      </c>
      <c r="AQ28" s="22">
        <f t="shared" si="58"/>
        <v>10.2</v>
      </c>
      <c r="AR28" s="22">
        <f t="shared" si="59"/>
        <v>2.38</v>
      </c>
      <c r="AS28" s="22">
        <f t="shared" si="60"/>
        <v>2.9</v>
      </c>
      <c r="AT28" s="22">
        <f t="shared" si="41"/>
        <v>0.284</v>
      </c>
      <c r="AU28" s="23">
        <f t="shared" si="29"/>
        <v>485.1</v>
      </c>
      <c r="AV28" s="23">
        <f t="shared" si="30"/>
        <v>4.95</v>
      </c>
      <c r="AW28" s="23">
        <f t="shared" si="31"/>
        <v>1.15</v>
      </c>
      <c r="AX28" s="23">
        <f t="shared" si="32"/>
        <v>1.41</v>
      </c>
      <c r="AY28" s="23">
        <f t="shared" si="33"/>
        <v>137.8</v>
      </c>
      <c r="AZ28" s="23">
        <f>(AY28*1000)/((3.1415/6)*1000*('[1]PM number'!$F$25*0.000000001)^3*EXP(4.5*1.8^2))</f>
        <v>2.018701969015234E+18</v>
      </c>
    </row>
    <row r="29" spans="1:52" ht="25.5">
      <c r="A29" s="39" t="s">
        <v>141</v>
      </c>
      <c r="B29" s="25" t="s">
        <v>142</v>
      </c>
      <c r="C29" s="24" t="s">
        <v>143</v>
      </c>
      <c r="D29" s="24" t="s">
        <v>144</v>
      </c>
      <c r="E29" s="26">
        <v>2200</v>
      </c>
      <c r="F29" s="26">
        <v>2</v>
      </c>
      <c r="G29" s="27">
        <v>6</v>
      </c>
      <c r="H29" s="28">
        <v>5</v>
      </c>
      <c r="I29" s="17">
        <f t="shared" si="42"/>
        <v>7.7</v>
      </c>
      <c r="J29" s="17">
        <f t="shared" si="43"/>
        <v>3.4</v>
      </c>
      <c r="K29" s="17">
        <f t="shared" si="44"/>
        <v>19.57</v>
      </c>
      <c r="L29" s="17">
        <f t="shared" si="45"/>
        <v>25.1</v>
      </c>
      <c r="M29" s="18">
        <f t="shared" si="46"/>
        <v>0.025792615498133234</v>
      </c>
      <c r="N29" s="17">
        <f t="shared" si="38"/>
        <v>0.136</v>
      </c>
      <c r="O29" s="17">
        <f>(N29*1000)/((3.1415/6)*1000*('[1]PM number'!C20*0.000000001)^3*EXP(4.5*1.8^2))</f>
        <v>14671868984232934</v>
      </c>
      <c r="P29" s="19">
        <v>66</v>
      </c>
      <c r="Q29" s="19">
        <v>3</v>
      </c>
      <c r="R29" s="20">
        <f t="shared" si="47"/>
        <v>16.3</v>
      </c>
      <c r="S29" s="20">
        <f t="shared" si="48"/>
        <v>13.2</v>
      </c>
      <c r="T29" s="20">
        <f t="shared" si="49"/>
        <v>1.47</v>
      </c>
      <c r="U29" s="20">
        <f t="shared" si="50"/>
        <v>1.7</v>
      </c>
      <c r="V29" s="20">
        <f t="shared" si="39"/>
        <v>0.348</v>
      </c>
      <c r="W29" s="17">
        <f>(V29*1000)/((3.1415/6)*1000*('[1]PM number'!$E$20*0.000000001)^3*EXP(4.5*1.8^2))</f>
        <v>9900296989136978</v>
      </c>
      <c r="X29">
        <f t="shared" si="51"/>
        <v>0.09037947025821864</v>
      </c>
      <c r="Y29" s="19">
        <v>32</v>
      </c>
      <c r="Z29" s="19">
        <v>5.5</v>
      </c>
      <c r="AA29" s="20">
        <f t="shared" si="52"/>
        <v>19.2</v>
      </c>
      <c r="AB29" s="20">
        <f t="shared" si="53"/>
        <v>8.7</v>
      </c>
      <c r="AC29" s="20">
        <f t="shared" si="54"/>
        <v>3.21</v>
      </c>
      <c r="AD29" s="20">
        <f t="shared" si="55"/>
        <v>3.9</v>
      </c>
      <c r="AE29" s="20">
        <f t="shared" si="40"/>
        <v>0.248</v>
      </c>
      <c r="AF29" s="17">
        <f>(AE29*1000)/((3.1415/6)*1000*('[1]PM number'!$D$20*0.000000001)^3*EXP(4.5*1.8^2))</f>
        <v>25975374560714230</v>
      </c>
      <c r="AG29" s="17">
        <f t="shared" si="56"/>
        <v>0.05816600830619012</v>
      </c>
      <c r="AH29" s="21">
        <f t="shared" si="34"/>
        <v>86.4</v>
      </c>
      <c r="AI29" s="21">
        <f t="shared" si="35"/>
        <v>816.8</v>
      </c>
      <c r="AJ29" s="21">
        <f t="shared" si="20"/>
        <v>472.6</v>
      </c>
      <c r="AK29" s="21">
        <f t="shared" si="36"/>
        <v>591.7</v>
      </c>
      <c r="AL29" s="21">
        <f t="shared" si="37"/>
        <v>23</v>
      </c>
      <c r="AM29" s="21">
        <f t="shared" si="23"/>
        <v>50547540534084140</v>
      </c>
      <c r="AN29" s="19">
        <v>1</v>
      </c>
      <c r="AO29" s="19">
        <v>62</v>
      </c>
      <c r="AP29" s="22">
        <f t="shared" si="57"/>
        <v>0.0862767549850298</v>
      </c>
      <c r="AQ29" s="22">
        <f t="shared" si="58"/>
        <v>12.7</v>
      </c>
      <c r="AR29" s="22">
        <f t="shared" si="59"/>
        <v>1.57</v>
      </c>
      <c r="AS29" s="22">
        <f t="shared" si="60"/>
        <v>1.9</v>
      </c>
      <c r="AT29" s="22">
        <f t="shared" si="41"/>
        <v>0.339</v>
      </c>
      <c r="AU29" s="23">
        <f t="shared" si="29"/>
        <v>621.2</v>
      </c>
      <c r="AV29" s="23">
        <f t="shared" si="30"/>
        <v>7.89</v>
      </c>
      <c r="AW29" s="23">
        <f t="shared" si="31"/>
        <v>0.98</v>
      </c>
      <c r="AX29" s="23">
        <f t="shared" si="32"/>
        <v>1.18</v>
      </c>
      <c r="AY29" s="23">
        <f t="shared" si="33"/>
        <v>210.6</v>
      </c>
      <c r="AZ29" s="23">
        <f>(AY29*1000)/((3.1415/6)*1000*('[1]PM number'!$F$25*0.000000001)^3*EXP(4.5*1.8^2))</f>
        <v>3.085186028117622E+18</v>
      </c>
    </row>
    <row r="30" spans="1:52" ht="25.5">
      <c r="A30" s="24" t="s">
        <v>145</v>
      </c>
      <c r="B30" s="25" t="s">
        <v>146</v>
      </c>
      <c r="C30" s="24" t="s">
        <v>147</v>
      </c>
      <c r="D30" s="24" t="s">
        <v>148</v>
      </c>
      <c r="E30" s="26">
        <v>420</v>
      </c>
      <c r="F30" s="26">
        <v>2</v>
      </c>
      <c r="G30" s="27">
        <v>7</v>
      </c>
      <c r="H30" s="28">
        <v>5</v>
      </c>
      <c r="I30" s="17">
        <f t="shared" si="42"/>
        <v>3.2</v>
      </c>
      <c r="J30" s="17">
        <f t="shared" si="43"/>
        <v>1.4</v>
      </c>
      <c r="K30" s="17">
        <f t="shared" si="44"/>
        <v>99.08</v>
      </c>
      <c r="L30" s="17">
        <f t="shared" si="45"/>
        <v>132.7</v>
      </c>
      <c r="M30" s="18">
        <f t="shared" si="46"/>
        <v>0.010714657820701887</v>
      </c>
      <c r="N30" s="17">
        <f t="shared" si="38"/>
        <v>0.113</v>
      </c>
      <c r="O30" s="17">
        <f>(N30*1000)/((3.1415/6)*1000*('[1]PM number'!C12*0.000000001)^3*EXP(4.5*1.8^2))</f>
        <v>12559984304078172</v>
      </c>
      <c r="P30" s="19">
        <v>78</v>
      </c>
      <c r="Q30" s="19">
        <v>3</v>
      </c>
      <c r="R30" s="20">
        <f t="shared" si="47"/>
        <v>5.5</v>
      </c>
      <c r="S30" s="20">
        <f t="shared" si="48"/>
        <v>5.7</v>
      </c>
      <c r="T30" s="20">
        <f t="shared" si="49"/>
        <v>7.33</v>
      </c>
      <c r="U30" s="20">
        <f t="shared" si="50"/>
        <v>9.1</v>
      </c>
      <c r="V30" s="20">
        <f t="shared" si="39"/>
        <v>0.178</v>
      </c>
      <c r="W30" s="17">
        <f>(V30*1000)/((3.1415/6)*1000*('[1]PM number'!$E$12*0.000000001)^3*EXP(4.5*1.8^2))</f>
        <v>3449622426244120.5</v>
      </c>
      <c r="X30">
        <f t="shared" si="51"/>
        <v>0.03077199354162227</v>
      </c>
      <c r="Y30" s="19">
        <v>38</v>
      </c>
      <c r="Z30" s="19">
        <v>5.5</v>
      </c>
      <c r="AA30" s="20">
        <f t="shared" si="52"/>
        <v>7.7</v>
      </c>
      <c r="AB30" s="20">
        <f t="shared" si="53"/>
        <v>3.8</v>
      </c>
      <c r="AC30" s="20">
        <f t="shared" si="54"/>
        <v>15.94</v>
      </c>
      <c r="AD30" s="20">
        <f t="shared" si="55"/>
        <v>20.3</v>
      </c>
      <c r="AE30" s="20">
        <f t="shared" si="40"/>
        <v>0.142</v>
      </c>
      <c r="AF30" s="17">
        <f>(AE30*1000)/((3.1415/6)*1000*('[1]PM number'!$D$12*0.000000001)^3*EXP(4.5*1.8^2))</f>
        <v>12187636807963100</v>
      </c>
      <c r="AG30" s="17">
        <f t="shared" si="56"/>
        <v>0.0234431418136523</v>
      </c>
      <c r="AH30" s="21">
        <f t="shared" si="34"/>
        <v>32.8</v>
      </c>
      <c r="AI30" s="21">
        <f t="shared" si="35"/>
        <v>130.2</v>
      </c>
      <c r="AJ30" s="21">
        <f t="shared" si="20"/>
        <v>960.2</v>
      </c>
      <c r="AK30" s="21">
        <f t="shared" si="36"/>
        <v>1262</v>
      </c>
      <c r="AL30" s="21">
        <f t="shared" si="37"/>
        <v>4.9</v>
      </c>
      <c r="AM30" s="21">
        <f t="shared" si="23"/>
        <v>28197243538285390</v>
      </c>
      <c r="AN30" s="19">
        <v>1</v>
      </c>
      <c r="AO30" s="19">
        <v>65</v>
      </c>
      <c r="AP30" s="22">
        <f t="shared" si="57"/>
        <v>0.028269377008378737</v>
      </c>
      <c r="AQ30" s="22">
        <f t="shared" si="58"/>
        <v>5.1</v>
      </c>
      <c r="AR30" s="22">
        <f t="shared" si="59"/>
        <v>8.93</v>
      </c>
      <c r="AS30" s="22">
        <f t="shared" si="60"/>
        <v>11.2</v>
      </c>
      <c r="AT30" s="22">
        <f t="shared" si="41"/>
        <v>0.167</v>
      </c>
      <c r="AU30" s="23">
        <f t="shared" si="29"/>
        <v>203.5</v>
      </c>
      <c r="AV30" s="23">
        <f t="shared" si="30"/>
        <v>1.04</v>
      </c>
      <c r="AW30" s="23">
        <f t="shared" si="31"/>
        <v>1.82</v>
      </c>
      <c r="AX30" s="23">
        <f t="shared" si="32"/>
        <v>2.28</v>
      </c>
      <c r="AY30" s="23">
        <f t="shared" si="33"/>
        <v>34</v>
      </c>
      <c r="AZ30" s="23">
        <f>(AY30*1000)/((3.1415/6)*1000*('[1]PM number'!F20*0.000000001)^3*EXP(4.5*1.8^2))</f>
        <v>1.119736391579568E+18</v>
      </c>
    </row>
    <row r="31" spans="1:52" ht="25.5">
      <c r="A31" s="39" t="s">
        <v>145</v>
      </c>
      <c r="B31" s="29" t="s">
        <v>149</v>
      </c>
      <c r="C31" s="24" t="s">
        <v>150</v>
      </c>
      <c r="D31" s="24" t="s">
        <v>151</v>
      </c>
      <c r="E31" s="26">
        <v>450</v>
      </c>
      <c r="F31" s="26">
        <v>2</v>
      </c>
      <c r="G31" s="27">
        <v>7</v>
      </c>
      <c r="H31" s="28">
        <v>5</v>
      </c>
      <c r="I31" s="17">
        <f t="shared" si="42"/>
        <v>3.3</v>
      </c>
      <c r="J31" s="17">
        <f t="shared" si="43"/>
        <v>1.5</v>
      </c>
      <c r="K31" s="17">
        <f t="shared" si="44"/>
        <v>91.97</v>
      </c>
      <c r="L31" s="17">
        <f t="shared" si="45"/>
        <v>122.9</v>
      </c>
      <c r="M31" s="18">
        <f t="shared" si="46"/>
        <v>0.01108531970079765</v>
      </c>
      <c r="N31" s="17">
        <f t="shared" si="38"/>
        <v>0.113</v>
      </c>
      <c r="O31" s="17">
        <f>(N31*1000)/((3.1415/6)*1000*('[1]PM number'!C12*0.000000001)^3*EXP(4.5*1.8^2))</f>
        <v>12559984304078172</v>
      </c>
      <c r="P31" s="19">
        <v>78</v>
      </c>
      <c r="Q31" s="19">
        <v>3</v>
      </c>
      <c r="R31" s="20">
        <f t="shared" si="47"/>
        <v>5.8</v>
      </c>
      <c r="S31" s="20">
        <f t="shared" si="48"/>
        <v>5.9</v>
      </c>
      <c r="T31" s="20">
        <f t="shared" si="49"/>
        <v>6.8</v>
      </c>
      <c r="U31" s="20">
        <f t="shared" si="50"/>
        <v>8.5</v>
      </c>
      <c r="V31" s="20">
        <f t="shared" si="39"/>
        <v>0.183</v>
      </c>
      <c r="W31" s="17">
        <f>(V31*1000)/((3.1415/6)*1000*('[1]PM number'!$E$12*0.000000001)^3*EXP(4.5*1.8^2))</f>
        <v>3546521932599292.5</v>
      </c>
      <c r="X31">
        <f t="shared" si="51"/>
        <v>0.031950698298787855</v>
      </c>
      <c r="Y31" s="19">
        <v>38</v>
      </c>
      <c r="Z31" s="19">
        <v>5.5</v>
      </c>
      <c r="AA31" s="20">
        <f t="shared" si="52"/>
        <v>7.9</v>
      </c>
      <c r="AB31" s="20">
        <f t="shared" si="53"/>
        <v>3.9</v>
      </c>
      <c r="AC31" s="20">
        <f t="shared" si="54"/>
        <v>14.79</v>
      </c>
      <c r="AD31" s="20">
        <f t="shared" si="55"/>
        <v>18.8</v>
      </c>
      <c r="AE31" s="20">
        <f t="shared" si="40"/>
        <v>0.145</v>
      </c>
      <c r="AF31" s="17">
        <f>(AE31*1000)/((3.1415/6)*1000*('[1]PM number'!$D$12*0.000000001)^3*EXP(4.5*1.8^2))</f>
        <v>12445122092638376</v>
      </c>
      <c r="AG31" s="17">
        <f t="shared" si="56"/>
        <v>0.02399575608139055</v>
      </c>
      <c r="AH31" s="21">
        <f t="shared" si="34"/>
        <v>34</v>
      </c>
      <c r="AI31" s="21">
        <f t="shared" si="35"/>
        <v>140</v>
      </c>
      <c r="AJ31" s="21">
        <f t="shared" si="20"/>
        <v>919.6</v>
      </c>
      <c r="AK31" s="21">
        <f t="shared" si="36"/>
        <v>1206.8</v>
      </c>
      <c r="AL31" s="21">
        <f t="shared" si="37"/>
        <v>5.2</v>
      </c>
      <c r="AM31" s="21">
        <f t="shared" si="23"/>
        <v>28551628329315840</v>
      </c>
      <c r="AN31" s="19">
        <v>1</v>
      </c>
      <c r="AO31" s="19">
        <v>65</v>
      </c>
      <c r="AP31" s="22">
        <f t="shared" si="57"/>
        <v>0.02912421021580949</v>
      </c>
      <c r="AQ31" s="22">
        <f t="shared" si="58"/>
        <v>5.3</v>
      </c>
      <c r="AR31" s="22">
        <f t="shared" si="59"/>
        <v>8.28</v>
      </c>
      <c r="AS31" s="22">
        <f t="shared" si="60"/>
        <v>10.4</v>
      </c>
      <c r="AT31" s="22">
        <f t="shared" si="41"/>
        <v>0.171</v>
      </c>
      <c r="AU31" s="23">
        <f t="shared" si="29"/>
        <v>209.7</v>
      </c>
      <c r="AV31" s="23">
        <f t="shared" si="30"/>
        <v>1.11</v>
      </c>
      <c r="AW31" s="23">
        <f t="shared" si="31"/>
        <v>1.74</v>
      </c>
      <c r="AX31" s="23">
        <f t="shared" si="32"/>
        <v>2.18</v>
      </c>
      <c r="AY31" s="23">
        <f t="shared" si="33"/>
        <v>35.9</v>
      </c>
      <c r="AZ31" s="23">
        <f>(AY31*1000)/((3.1415/6)*1000*('[1]PM number'!F20*0.000000001)^3*EXP(4.5*1.8^2))</f>
        <v>1.182309895814897E+18</v>
      </c>
    </row>
    <row r="32" spans="1:52" ht="25.5">
      <c r="A32" s="24" t="s">
        <v>152</v>
      </c>
      <c r="B32" s="25" t="s">
        <v>153</v>
      </c>
      <c r="C32" s="24" t="s">
        <v>154</v>
      </c>
      <c r="D32" s="24" t="s">
        <v>155</v>
      </c>
      <c r="E32" s="26">
        <v>641</v>
      </c>
      <c r="F32" s="26">
        <v>2</v>
      </c>
      <c r="G32" s="27">
        <v>7</v>
      </c>
      <c r="H32" s="28">
        <v>5</v>
      </c>
      <c r="I32" s="17">
        <f t="shared" si="42"/>
        <v>4</v>
      </c>
      <c r="J32" s="17">
        <f t="shared" si="43"/>
        <v>1.8</v>
      </c>
      <c r="K32" s="17">
        <f t="shared" si="44"/>
        <v>62.76</v>
      </c>
      <c r="L32" s="17">
        <f t="shared" si="45"/>
        <v>83</v>
      </c>
      <c r="M32" s="18">
        <f t="shared" si="46"/>
        <v>0.013348965687994253</v>
      </c>
      <c r="N32" s="17">
        <f t="shared" si="38"/>
        <v>0.116</v>
      </c>
      <c r="O32" s="17">
        <f>(N32*1000)/((3.1415/6)*1000*('[1]PM number'!C12*0.000000001)^3*EXP(4.5*1.8^2))</f>
        <v>12893435214805910</v>
      </c>
      <c r="P32" s="19">
        <v>78</v>
      </c>
      <c r="Q32" s="19">
        <v>3</v>
      </c>
      <c r="R32" s="20">
        <f t="shared" si="47"/>
        <v>7.3</v>
      </c>
      <c r="S32" s="20">
        <f t="shared" si="48"/>
        <v>7.2</v>
      </c>
      <c r="T32" s="20">
        <f t="shared" si="49"/>
        <v>4.64</v>
      </c>
      <c r="U32" s="20">
        <f t="shared" si="50"/>
        <v>5.7</v>
      </c>
      <c r="V32" s="20">
        <f t="shared" si="39"/>
        <v>0.212</v>
      </c>
      <c r="W32" s="17">
        <f>(V32*1000)/((3.1415/6)*1000*('[1]PM number'!$E$12*0.000000001)^3*EXP(4.5*1.8^2))</f>
        <v>4108539069459289.5</v>
      </c>
      <c r="X32">
        <f t="shared" si="51"/>
        <v>0.040419059139798395</v>
      </c>
      <c r="Y32" s="19">
        <v>38</v>
      </c>
      <c r="Z32" s="19">
        <v>5.5</v>
      </c>
      <c r="AA32" s="20">
        <f t="shared" si="52"/>
        <v>9.5</v>
      </c>
      <c r="AB32" s="20">
        <f t="shared" si="53"/>
        <v>4.8</v>
      </c>
      <c r="AC32" s="20">
        <f t="shared" si="54"/>
        <v>10.1</v>
      </c>
      <c r="AD32" s="20">
        <f t="shared" si="55"/>
        <v>12.7</v>
      </c>
      <c r="AE32" s="20">
        <f t="shared" si="40"/>
        <v>0.16</v>
      </c>
      <c r="AF32" s="17">
        <f>(AE32*1000)/((3.1415/6)*1000*('[1]PM number'!$D$12*0.000000001)^3*EXP(4.5*1.8^2))</f>
        <v>13732548516014760</v>
      </c>
      <c r="AG32" s="17">
        <f t="shared" si="56"/>
        <v>0.028735165554963207</v>
      </c>
      <c r="AH32" s="21">
        <f t="shared" si="34"/>
        <v>41.6</v>
      </c>
      <c r="AI32" s="21">
        <f t="shared" si="35"/>
        <v>210.7</v>
      </c>
      <c r="AJ32" s="21">
        <f t="shared" si="20"/>
        <v>761.7</v>
      </c>
      <c r="AK32" s="21">
        <f t="shared" si="36"/>
        <v>988.5</v>
      </c>
      <c r="AL32" s="21">
        <f t="shared" si="37"/>
        <v>7.1</v>
      </c>
      <c r="AM32" s="21">
        <f t="shared" si="23"/>
        <v>30734522800279960</v>
      </c>
      <c r="AN32" s="19">
        <v>1</v>
      </c>
      <c r="AO32" s="19">
        <v>65</v>
      </c>
      <c r="AP32" s="22">
        <f t="shared" si="57"/>
        <v>0.036249771257372394</v>
      </c>
      <c r="AQ32" s="22">
        <f t="shared" si="58"/>
        <v>6.5</v>
      </c>
      <c r="AR32" s="22">
        <f t="shared" si="59"/>
        <v>5.65</v>
      </c>
      <c r="AS32" s="22">
        <f t="shared" si="60"/>
        <v>7</v>
      </c>
      <c r="AT32" s="22">
        <f t="shared" si="41"/>
        <v>0.196</v>
      </c>
      <c r="AU32" s="23">
        <f t="shared" si="29"/>
        <v>261</v>
      </c>
      <c r="AV32" s="23">
        <f t="shared" si="30"/>
        <v>1.7</v>
      </c>
      <c r="AW32" s="23">
        <f t="shared" si="31"/>
        <v>1.47</v>
      </c>
      <c r="AX32" s="23">
        <f t="shared" si="32"/>
        <v>1.83</v>
      </c>
      <c r="AY32" s="23">
        <f t="shared" si="33"/>
        <v>51.2</v>
      </c>
      <c r="AZ32" s="23">
        <f>(AY32*1000)/((3.1415/6)*1000*('[1]PM number'!F20*0.000000001)^3*EXP(4.5*1.8^2))</f>
        <v>1.6861912720257024E+18</v>
      </c>
    </row>
    <row r="33" spans="1:52" ht="25.5">
      <c r="A33" s="24" t="s">
        <v>152</v>
      </c>
      <c r="B33" s="25" t="s">
        <v>153</v>
      </c>
      <c r="C33" s="24" t="s">
        <v>156</v>
      </c>
      <c r="D33" s="24" t="s">
        <v>157</v>
      </c>
      <c r="E33" s="26">
        <v>641</v>
      </c>
      <c r="F33" s="26">
        <v>2</v>
      </c>
      <c r="G33" s="27">
        <v>7</v>
      </c>
      <c r="H33" s="28">
        <v>5</v>
      </c>
      <c r="I33" s="17">
        <f t="shared" si="42"/>
        <v>4</v>
      </c>
      <c r="J33" s="17">
        <f t="shared" si="43"/>
        <v>1.8</v>
      </c>
      <c r="K33" s="17">
        <f t="shared" si="44"/>
        <v>62.76</v>
      </c>
      <c r="L33" s="17">
        <f t="shared" si="45"/>
        <v>83</v>
      </c>
      <c r="M33" s="18">
        <f t="shared" si="46"/>
        <v>0.013348965687994253</v>
      </c>
      <c r="N33" s="17">
        <f t="shared" si="38"/>
        <v>0.116</v>
      </c>
      <c r="O33" s="17">
        <f>(N33*1000)/((3.1415/6)*1000*('[1]PM number'!C12*0.000000001)^3*EXP(4.5*1.8^2))</f>
        <v>12893435214805910</v>
      </c>
      <c r="P33" s="19">
        <v>78</v>
      </c>
      <c r="Q33" s="19">
        <v>3</v>
      </c>
      <c r="R33" s="20">
        <f t="shared" si="47"/>
        <v>7.3</v>
      </c>
      <c r="S33" s="20">
        <f t="shared" si="48"/>
        <v>7.2</v>
      </c>
      <c r="T33" s="20">
        <f t="shared" si="49"/>
        <v>4.64</v>
      </c>
      <c r="U33" s="20">
        <f t="shared" si="50"/>
        <v>5.7</v>
      </c>
      <c r="V33" s="20">
        <f t="shared" si="39"/>
        <v>0.212</v>
      </c>
      <c r="W33" s="17">
        <f>(V33*1000)/((3.1415/6)*1000*('[1]PM number'!$E$12*0.000000001)^3*EXP(4.5*1.8^2))</f>
        <v>4108539069459289.5</v>
      </c>
      <c r="X33">
        <f t="shared" si="51"/>
        <v>0.040419059139798395</v>
      </c>
      <c r="Y33" s="19">
        <v>38</v>
      </c>
      <c r="Z33" s="19">
        <v>5.5</v>
      </c>
      <c r="AA33" s="20">
        <f t="shared" si="52"/>
        <v>9.5</v>
      </c>
      <c r="AB33" s="20">
        <f t="shared" si="53"/>
        <v>4.8</v>
      </c>
      <c r="AC33" s="20">
        <f t="shared" si="54"/>
        <v>10.1</v>
      </c>
      <c r="AD33" s="20">
        <f t="shared" si="55"/>
        <v>12.7</v>
      </c>
      <c r="AE33" s="20">
        <f t="shared" si="40"/>
        <v>0.16</v>
      </c>
      <c r="AF33" s="17">
        <f>(AE33*1000)/((3.1415/6)*1000*('[1]PM number'!$D$12*0.000000001)^3*EXP(4.5*1.8^2))</f>
        <v>13732548516014760</v>
      </c>
      <c r="AG33" s="17">
        <f t="shared" si="56"/>
        <v>0.028735165554963207</v>
      </c>
      <c r="AH33" s="21">
        <f t="shared" si="34"/>
        <v>41.6</v>
      </c>
      <c r="AI33" s="21">
        <f t="shared" si="35"/>
        <v>210.7</v>
      </c>
      <c r="AJ33" s="21">
        <f t="shared" si="20"/>
        <v>761.7</v>
      </c>
      <c r="AK33" s="21">
        <f t="shared" si="36"/>
        <v>988.5</v>
      </c>
      <c r="AL33" s="21">
        <f t="shared" si="37"/>
        <v>7.1</v>
      </c>
      <c r="AM33" s="21">
        <f t="shared" si="23"/>
        <v>30734522800279960</v>
      </c>
      <c r="AN33" s="19">
        <v>1</v>
      </c>
      <c r="AO33" s="19">
        <v>65</v>
      </c>
      <c r="AP33" s="22">
        <f t="shared" si="57"/>
        <v>0.036249771257372394</v>
      </c>
      <c r="AQ33" s="22">
        <f t="shared" si="58"/>
        <v>6.5</v>
      </c>
      <c r="AR33" s="22">
        <f t="shared" si="59"/>
        <v>5.65</v>
      </c>
      <c r="AS33" s="22">
        <f t="shared" si="60"/>
        <v>7</v>
      </c>
      <c r="AT33" s="22">
        <f t="shared" si="41"/>
        <v>0.196</v>
      </c>
      <c r="AU33" s="23">
        <f t="shared" si="29"/>
        <v>261</v>
      </c>
      <c r="AV33" s="23">
        <f t="shared" si="30"/>
        <v>1.7</v>
      </c>
      <c r="AW33" s="23">
        <f t="shared" si="31"/>
        <v>1.47</v>
      </c>
      <c r="AX33" s="23">
        <f t="shared" si="32"/>
        <v>1.83</v>
      </c>
      <c r="AY33" s="23">
        <f t="shared" si="33"/>
        <v>51.2</v>
      </c>
      <c r="AZ33" s="23">
        <f>(AY33*1000)/((3.1415/6)*1000*('[1]PM number'!F20*0.000000001)^3*EXP(4.5*1.8^2))</f>
        <v>1.6861912720257024E+18</v>
      </c>
    </row>
    <row r="34" spans="1:52" ht="25.5">
      <c r="A34" s="24" t="s">
        <v>158</v>
      </c>
      <c r="B34" s="25" t="s">
        <v>153</v>
      </c>
      <c r="C34" s="24" t="s">
        <v>159</v>
      </c>
      <c r="D34" s="24" t="s">
        <v>160</v>
      </c>
      <c r="E34" s="26">
        <v>660</v>
      </c>
      <c r="F34" s="26">
        <v>2</v>
      </c>
      <c r="G34" s="27">
        <v>7</v>
      </c>
      <c r="H34" s="28">
        <v>5</v>
      </c>
      <c r="I34" s="17">
        <f t="shared" si="42"/>
        <v>4.1</v>
      </c>
      <c r="J34" s="17">
        <f t="shared" si="43"/>
        <v>1.9</v>
      </c>
      <c r="K34" s="17">
        <f t="shared" si="44"/>
        <v>60.81</v>
      </c>
      <c r="L34" s="17">
        <f t="shared" si="45"/>
        <v>80.4</v>
      </c>
      <c r="M34" s="18">
        <f t="shared" si="46"/>
        <v>0.013527615944919576</v>
      </c>
      <c r="N34" s="17">
        <f t="shared" si="38"/>
        <v>0.116</v>
      </c>
      <c r="O34" s="17">
        <f>(N34*1000)/((3.1415/6)*1000*('[1]PM number'!C12*0.000000001)^3*EXP(4.5*1.8^2))</f>
        <v>12893435214805910</v>
      </c>
      <c r="P34" s="19">
        <v>78</v>
      </c>
      <c r="Q34" s="19">
        <v>3</v>
      </c>
      <c r="R34" s="20">
        <f t="shared" si="47"/>
        <v>7.4</v>
      </c>
      <c r="S34" s="20">
        <f t="shared" si="48"/>
        <v>7.3</v>
      </c>
      <c r="T34" s="20">
        <f t="shared" si="49"/>
        <v>4.5</v>
      </c>
      <c r="U34" s="20">
        <f t="shared" si="50"/>
        <v>5.5</v>
      </c>
      <c r="V34" s="20">
        <f t="shared" si="39"/>
        <v>0.215</v>
      </c>
      <c r="W34" s="17">
        <f>(V34*1000)/((3.1415/6)*1000*('[1]PM number'!$E$12*0.000000001)^3*EXP(4.5*1.8^2))</f>
        <v>4166678773272392.5</v>
      </c>
      <c r="X34">
        <f t="shared" si="51"/>
        <v>0.0412168265422156</v>
      </c>
      <c r="Y34" s="19">
        <v>38</v>
      </c>
      <c r="Z34" s="19">
        <v>5.5</v>
      </c>
      <c r="AA34" s="20">
        <f t="shared" si="52"/>
        <v>9.6</v>
      </c>
      <c r="AB34" s="20">
        <f t="shared" si="53"/>
        <v>4.9</v>
      </c>
      <c r="AC34" s="20">
        <f t="shared" si="54"/>
        <v>9.78</v>
      </c>
      <c r="AD34" s="20">
        <f t="shared" si="55"/>
        <v>12.3</v>
      </c>
      <c r="AE34" s="20">
        <f t="shared" si="40"/>
        <v>0.162</v>
      </c>
      <c r="AF34" s="17">
        <f>(AE34*1000)/((3.1415/6)*1000*('[1]PM number'!$D$12*0.000000001)^3*EXP(4.5*1.8^2))</f>
        <v>13904205372464946</v>
      </c>
      <c r="AG34" s="17">
        <f t="shared" si="56"/>
        <v>0.029061795911251125</v>
      </c>
      <c r="AH34" s="21">
        <f t="shared" si="34"/>
        <v>42.2</v>
      </c>
      <c r="AI34" s="21">
        <f t="shared" si="35"/>
        <v>217.7</v>
      </c>
      <c r="AJ34" s="21">
        <f t="shared" si="20"/>
        <v>753</v>
      </c>
      <c r="AK34" s="21">
        <f t="shared" si="36"/>
        <v>976.8</v>
      </c>
      <c r="AL34" s="21">
        <f t="shared" si="37"/>
        <v>7.2</v>
      </c>
      <c r="AM34" s="21">
        <f t="shared" si="23"/>
        <v>30964319360543250</v>
      </c>
      <c r="AN34" s="19">
        <v>1</v>
      </c>
      <c r="AO34" s="19">
        <v>65</v>
      </c>
      <c r="AP34" s="22">
        <f t="shared" si="57"/>
        <v>0.036832886368029276</v>
      </c>
      <c r="AQ34" s="22">
        <f t="shared" si="58"/>
        <v>6.6</v>
      </c>
      <c r="AR34" s="22">
        <f t="shared" si="59"/>
        <v>5.48</v>
      </c>
      <c r="AS34" s="22">
        <f t="shared" si="60"/>
        <v>6.8</v>
      </c>
      <c r="AT34" s="22">
        <f t="shared" si="41"/>
        <v>0.198</v>
      </c>
      <c r="AU34" s="23">
        <f t="shared" si="29"/>
        <v>265.2</v>
      </c>
      <c r="AV34" s="23">
        <f t="shared" si="30"/>
        <v>1.75</v>
      </c>
      <c r="AW34" s="23">
        <f t="shared" si="31"/>
        <v>1.45</v>
      </c>
      <c r="AX34" s="23">
        <f t="shared" si="32"/>
        <v>1.8</v>
      </c>
      <c r="AY34" s="23">
        <f t="shared" si="33"/>
        <v>52.5</v>
      </c>
      <c r="AZ34" s="23">
        <f>(AY34*1000)/((3.1415/6)*1000*('[1]PM number'!F20*0.000000001)^3*EXP(4.5*1.8^2))</f>
        <v>1.72900472229198E+18</v>
      </c>
    </row>
    <row r="35" spans="1:52" ht="25.5">
      <c r="A35" s="24" t="s">
        <v>161</v>
      </c>
      <c r="B35" s="25" t="s">
        <v>153</v>
      </c>
      <c r="C35" s="24" t="s">
        <v>162</v>
      </c>
      <c r="D35" s="24" t="s">
        <v>163</v>
      </c>
      <c r="E35" s="26">
        <v>700</v>
      </c>
      <c r="F35" s="26">
        <v>2</v>
      </c>
      <c r="G35" s="27">
        <v>7</v>
      </c>
      <c r="H35" s="28">
        <v>5</v>
      </c>
      <c r="I35" s="17">
        <f t="shared" si="42"/>
        <v>4.2</v>
      </c>
      <c r="J35" s="17">
        <f t="shared" si="43"/>
        <v>1.9</v>
      </c>
      <c r="K35" s="17">
        <f t="shared" si="44"/>
        <v>57.06</v>
      </c>
      <c r="L35" s="17">
        <f t="shared" si="45"/>
        <v>75.3</v>
      </c>
      <c r="M35" s="18">
        <f t="shared" si="46"/>
        <v>0.013898571190425564</v>
      </c>
      <c r="N35" s="17">
        <f t="shared" si="38"/>
        <v>0.117</v>
      </c>
      <c r="O35" s="17">
        <f>(N35*1000)/((3.1415/6)*1000*('[1]PM number'!C12*0.000000001)^3*EXP(4.5*1.8^2))</f>
        <v>13004585518381824</v>
      </c>
      <c r="P35" s="19">
        <v>78</v>
      </c>
      <c r="Q35" s="19">
        <v>3</v>
      </c>
      <c r="R35" s="20">
        <f t="shared" si="47"/>
        <v>7.7</v>
      </c>
      <c r="S35" s="20">
        <f t="shared" si="48"/>
        <v>7.6</v>
      </c>
      <c r="T35" s="20">
        <f t="shared" si="49"/>
        <v>4.22</v>
      </c>
      <c r="U35" s="20">
        <f t="shared" si="50"/>
        <v>5.2</v>
      </c>
      <c r="V35" s="20">
        <f t="shared" si="39"/>
        <v>0.22</v>
      </c>
      <c r="W35" s="17">
        <f>(V35*1000)/((3.1415/6)*1000*('[1]PM number'!$E$12*0.000000001)^3*EXP(4.5*1.8^2))</f>
        <v>4263578279627564.5</v>
      </c>
      <c r="X35">
        <f t="shared" si="51"/>
        <v>0.0429449234732748</v>
      </c>
      <c r="Y35" s="19">
        <v>38</v>
      </c>
      <c r="Z35" s="19">
        <v>5.5</v>
      </c>
      <c r="AA35" s="20">
        <f t="shared" si="52"/>
        <v>9.8</v>
      </c>
      <c r="AB35" s="20">
        <f t="shared" si="53"/>
        <v>5</v>
      </c>
      <c r="AC35" s="20">
        <f t="shared" si="54"/>
        <v>9.18</v>
      </c>
      <c r="AD35" s="20">
        <f t="shared" si="55"/>
        <v>11.5</v>
      </c>
      <c r="AE35" s="20">
        <f t="shared" si="40"/>
        <v>0.165</v>
      </c>
      <c r="AF35" s="17">
        <f>(AE35*1000)/((3.1415/6)*1000*('[1]PM number'!$D$12*0.000000001)^3*EXP(4.5*1.8^2))</f>
        <v>14161690657140222</v>
      </c>
      <c r="AG35" s="17">
        <f t="shared" si="56"/>
        <v>0.029732579800590443</v>
      </c>
      <c r="AH35" s="21">
        <f t="shared" si="34"/>
        <v>43.4</v>
      </c>
      <c r="AI35" s="21">
        <f t="shared" si="35"/>
        <v>231</v>
      </c>
      <c r="AJ35" s="21">
        <f t="shared" si="20"/>
        <v>724.2</v>
      </c>
      <c r="AK35" s="21">
        <f t="shared" si="36"/>
        <v>938</v>
      </c>
      <c r="AL35" s="21">
        <f t="shared" si="37"/>
        <v>7.6</v>
      </c>
      <c r="AM35" s="21">
        <f t="shared" si="23"/>
        <v>31429854455149610</v>
      </c>
      <c r="AN35" s="19">
        <v>1</v>
      </c>
      <c r="AO35" s="19">
        <v>65</v>
      </c>
      <c r="AP35" s="22">
        <f t="shared" si="57"/>
        <v>0.03809993703507059</v>
      </c>
      <c r="AQ35" s="22">
        <f t="shared" si="58"/>
        <v>6.8</v>
      </c>
      <c r="AR35" s="22">
        <f t="shared" si="59"/>
        <v>5.14</v>
      </c>
      <c r="AS35" s="22">
        <f t="shared" si="60"/>
        <v>6.3</v>
      </c>
      <c r="AT35" s="22">
        <f t="shared" si="41"/>
        <v>0.203</v>
      </c>
      <c r="AU35" s="23">
        <f t="shared" si="29"/>
        <v>274.3</v>
      </c>
      <c r="AV35" s="23">
        <f t="shared" si="30"/>
        <v>1.87</v>
      </c>
      <c r="AW35" s="23">
        <f t="shared" si="31"/>
        <v>1.41</v>
      </c>
      <c r="AX35" s="23">
        <f t="shared" si="32"/>
        <v>1.73</v>
      </c>
      <c r="AY35" s="23">
        <f t="shared" si="33"/>
        <v>55.7</v>
      </c>
      <c r="AZ35" s="23">
        <f>(AY35*1000)/((3.1415/6)*1000*('[1]PM number'!F20*0.000000001)^3*EXP(4.5*1.8^2))</f>
        <v>1.8343916767935864E+18</v>
      </c>
    </row>
    <row r="36" spans="1:52" ht="25.5">
      <c r="A36" s="24" t="s">
        <v>164</v>
      </c>
      <c r="B36" s="25" t="s">
        <v>153</v>
      </c>
      <c r="C36" s="24" t="s">
        <v>165</v>
      </c>
      <c r="D36" s="24" t="s">
        <v>166</v>
      </c>
      <c r="E36" s="26">
        <v>763</v>
      </c>
      <c r="F36" s="26">
        <v>2</v>
      </c>
      <c r="G36" s="27">
        <v>7</v>
      </c>
      <c r="H36" s="28">
        <v>5</v>
      </c>
      <c r="I36" s="17">
        <f t="shared" si="42"/>
        <v>4.3</v>
      </c>
      <c r="J36" s="17">
        <f t="shared" si="43"/>
        <v>2</v>
      </c>
      <c r="K36" s="17">
        <f t="shared" si="44"/>
        <v>51.99</v>
      </c>
      <c r="L36" s="17">
        <f t="shared" si="45"/>
        <v>68.4</v>
      </c>
      <c r="M36" s="18">
        <f t="shared" si="46"/>
        <v>0.014468928218339632</v>
      </c>
      <c r="N36" s="17">
        <f t="shared" si="38"/>
        <v>0.118</v>
      </c>
      <c r="O36" s="17">
        <f>(N36*1000)/((3.1415/6)*1000*('[1]PM number'!C12*0.000000001)^3*EXP(4.5*1.8^2))</f>
        <v>13115735821957736</v>
      </c>
      <c r="P36" s="19">
        <v>78</v>
      </c>
      <c r="Q36" s="19">
        <v>3</v>
      </c>
      <c r="R36" s="20">
        <f t="shared" si="47"/>
        <v>8.2</v>
      </c>
      <c r="S36" s="20">
        <f t="shared" si="48"/>
        <v>7.9</v>
      </c>
      <c r="T36" s="20">
        <f t="shared" si="49"/>
        <v>3.85</v>
      </c>
      <c r="U36" s="20">
        <f t="shared" si="50"/>
        <v>4.7</v>
      </c>
      <c r="V36" s="20">
        <f t="shared" si="39"/>
        <v>0.229</v>
      </c>
      <c r="W36" s="17">
        <f>(V36*1000)/((3.1415/6)*1000*('[1]PM number'!$E$12*0.000000001)^3*EXP(4.5*1.8^2))</f>
        <v>4437997391066874</v>
      </c>
      <c r="X36">
        <f t="shared" si="51"/>
        <v>0.045775161695051435</v>
      </c>
      <c r="Y36" s="19">
        <v>38</v>
      </c>
      <c r="Z36" s="19">
        <v>5.5</v>
      </c>
      <c r="AA36" s="20">
        <f t="shared" si="52"/>
        <v>10.1</v>
      </c>
      <c r="AB36" s="20">
        <f t="shared" si="53"/>
        <v>5.3</v>
      </c>
      <c r="AC36" s="20">
        <f t="shared" si="54"/>
        <v>8.36</v>
      </c>
      <c r="AD36" s="20">
        <f t="shared" si="55"/>
        <v>10.5</v>
      </c>
      <c r="AE36" s="20">
        <f t="shared" si="40"/>
        <v>0.17</v>
      </c>
      <c r="AF36" s="17">
        <f>(AE36*1000)/((3.1415/6)*1000*('[1]PM number'!$D$12*0.000000001)^3*EXP(4.5*1.8^2))</f>
        <v>14590832798265684</v>
      </c>
      <c r="AG36" s="17">
        <f t="shared" si="56"/>
        <v>0.030756732969330805</v>
      </c>
      <c r="AH36" s="21">
        <f t="shared" si="34"/>
        <v>45.2</v>
      </c>
      <c r="AI36" s="21">
        <f t="shared" si="35"/>
        <v>253.8</v>
      </c>
      <c r="AJ36" s="21">
        <f t="shared" si="20"/>
        <v>679.1</v>
      </c>
      <c r="AK36" s="21">
        <f t="shared" si="36"/>
        <v>877.4</v>
      </c>
      <c r="AL36" s="21">
        <f t="shared" si="37"/>
        <v>8.2</v>
      </c>
      <c r="AM36" s="21">
        <f t="shared" si="23"/>
        <v>32144566011290296</v>
      </c>
      <c r="AN36" s="19">
        <v>1</v>
      </c>
      <c r="AO36" s="19">
        <v>65</v>
      </c>
      <c r="AP36" s="22">
        <f t="shared" si="57"/>
        <v>0.04020489495164429</v>
      </c>
      <c r="AQ36" s="22">
        <f t="shared" si="58"/>
        <v>7.2</v>
      </c>
      <c r="AR36" s="22">
        <f t="shared" si="59"/>
        <v>4.68</v>
      </c>
      <c r="AS36" s="22">
        <f t="shared" si="60"/>
        <v>5.8</v>
      </c>
      <c r="AT36" s="22">
        <f t="shared" si="41"/>
        <v>0.211</v>
      </c>
      <c r="AU36" s="23">
        <f t="shared" si="29"/>
        <v>289.5</v>
      </c>
      <c r="AV36" s="23">
        <f t="shared" si="30"/>
        <v>2.08</v>
      </c>
      <c r="AW36" s="23">
        <f t="shared" si="31"/>
        <v>1.35</v>
      </c>
      <c r="AX36" s="23">
        <f t="shared" si="32"/>
        <v>1.68</v>
      </c>
      <c r="AY36" s="23">
        <f t="shared" si="33"/>
        <v>61.1</v>
      </c>
      <c r="AZ36" s="23">
        <f>(AY36*1000)/((3.1415/6)*1000*('[1]PM number'!F20*0.000000001)^3*EXP(4.5*1.8^2))</f>
        <v>2.0122321625150472E+18</v>
      </c>
    </row>
    <row r="37" spans="1:52" ht="25.5">
      <c r="A37" s="24" t="s">
        <v>167</v>
      </c>
      <c r="B37" s="25" t="s">
        <v>149</v>
      </c>
      <c r="C37" s="24" t="s">
        <v>168</v>
      </c>
      <c r="D37" s="24" t="s">
        <v>169</v>
      </c>
      <c r="E37" s="26">
        <v>712</v>
      </c>
      <c r="F37" s="26">
        <v>2</v>
      </c>
      <c r="G37" s="27">
        <v>7</v>
      </c>
      <c r="H37" s="28">
        <v>5</v>
      </c>
      <c r="I37" s="17">
        <f t="shared" si="42"/>
        <v>4.2</v>
      </c>
      <c r="J37" s="17">
        <f t="shared" si="43"/>
        <v>1.9</v>
      </c>
      <c r="K37" s="17">
        <f t="shared" si="44"/>
        <v>56.03</v>
      </c>
      <c r="L37" s="17">
        <f t="shared" si="45"/>
        <v>73.9</v>
      </c>
      <c r="M37" s="18">
        <f t="shared" si="46"/>
        <v>0.014008510767377112</v>
      </c>
      <c r="N37" s="17">
        <f t="shared" si="38"/>
        <v>0.117</v>
      </c>
      <c r="O37" s="17">
        <f>(N37*1000)/((3.1415/6)*1000*('[1]PM number'!C12*0.000000001)^3*EXP(4.5*1.8^2))</f>
        <v>13004585518381824</v>
      </c>
      <c r="P37" s="19">
        <v>78</v>
      </c>
      <c r="Q37" s="19">
        <v>3</v>
      </c>
      <c r="R37" s="20">
        <f t="shared" si="47"/>
        <v>7.8</v>
      </c>
      <c r="S37" s="20">
        <f t="shared" si="48"/>
        <v>7.6</v>
      </c>
      <c r="T37" s="20">
        <f t="shared" si="49"/>
        <v>4.15</v>
      </c>
      <c r="U37" s="20">
        <f t="shared" si="50"/>
        <v>5.1</v>
      </c>
      <c r="V37" s="20">
        <f t="shared" si="39"/>
        <v>0.222</v>
      </c>
      <c r="W37" s="17">
        <f>(V37*1000)/((3.1415/6)*1000*('[1]PM number'!$E$12*0.000000001)^3*EXP(4.5*1.8^2))</f>
        <v>4302338082169633.5</v>
      </c>
      <c r="X37">
        <f t="shared" si="51"/>
        <v>0.043474893205721156</v>
      </c>
      <c r="Y37" s="19">
        <v>38</v>
      </c>
      <c r="Z37" s="19">
        <v>5.5</v>
      </c>
      <c r="AA37" s="20">
        <f t="shared" si="52"/>
        <v>9.9</v>
      </c>
      <c r="AB37" s="20">
        <f t="shared" si="53"/>
        <v>5.1</v>
      </c>
      <c r="AC37" s="20">
        <f t="shared" si="54"/>
        <v>9.01</v>
      </c>
      <c r="AD37" s="20">
        <f t="shared" si="55"/>
        <v>11.3</v>
      </c>
      <c r="AE37" s="20">
        <f t="shared" si="40"/>
        <v>0.166</v>
      </c>
      <c r="AF37" s="17">
        <f>(AE37*1000)/((3.1415/6)*1000*('[1]PM number'!$D$12*0.000000001)^3*EXP(4.5*1.8^2))</f>
        <v>14247519085365314</v>
      </c>
      <c r="AG37" s="17">
        <f t="shared" si="56"/>
        <v>0.02993016945406829</v>
      </c>
      <c r="AH37" s="21">
        <f t="shared" si="34"/>
        <v>43.8</v>
      </c>
      <c r="AI37" s="21">
        <f t="shared" si="35"/>
        <v>235.5</v>
      </c>
      <c r="AJ37" s="21">
        <f t="shared" si="20"/>
        <v>713.8</v>
      </c>
      <c r="AK37" s="21">
        <f t="shared" si="36"/>
        <v>924.1</v>
      </c>
      <c r="AL37" s="21">
        <f t="shared" si="37"/>
        <v>7.7</v>
      </c>
      <c r="AM37" s="21">
        <f t="shared" si="23"/>
        <v>31554442685916772</v>
      </c>
      <c r="AN37" s="19">
        <v>1</v>
      </c>
      <c r="AO37" s="19">
        <v>65</v>
      </c>
      <c r="AP37" s="22">
        <f t="shared" si="57"/>
        <v>0.038490639571874034</v>
      </c>
      <c r="AQ37" s="22">
        <f t="shared" si="58"/>
        <v>6.9</v>
      </c>
      <c r="AR37" s="22">
        <f t="shared" si="59"/>
        <v>5.05</v>
      </c>
      <c r="AS37" s="22">
        <f t="shared" si="60"/>
        <v>6.2</v>
      </c>
      <c r="AT37" s="22">
        <f t="shared" si="41"/>
        <v>0.205</v>
      </c>
      <c r="AU37" s="23">
        <f t="shared" si="29"/>
        <v>277.1</v>
      </c>
      <c r="AV37" s="23">
        <f t="shared" si="30"/>
        <v>1.91</v>
      </c>
      <c r="AW37" s="23">
        <f t="shared" si="31"/>
        <v>1.4</v>
      </c>
      <c r="AX37" s="23">
        <f t="shared" si="32"/>
        <v>1.72</v>
      </c>
      <c r="AY37" s="23">
        <f t="shared" si="33"/>
        <v>56.8</v>
      </c>
      <c r="AZ37" s="23">
        <f>(AY37*1000)/((3.1415/6)*1000*('[1]PM number'!F20*0.000000001)^3*EXP(4.5*1.8^2))</f>
        <v>1.8706184424035136E+18</v>
      </c>
    </row>
    <row r="38" spans="1:52" ht="12.75">
      <c r="A38" s="24" t="s">
        <v>170</v>
      </c>
      <c r="B38" s="25" t="s">
        <v>171</v>
      </c>
      <c r="C38" s="24" t="s">
        <v>172</v>
      </c>
      <c r="D38" s="24" t="s">
        <v>55</v>
      </c>
      <c r="E38" s="26">
        <v>738</v>
      </c>
      <c r="F38" s="26">
        <v>2</v>
      </c>
      <c r="G38" s="27">
        <v>7</v>
      </c>
      <c r="H38" s="28">
        <v>5</v>
      </c>
      <c r="I38" s="17">
        <f t="shared" si="42"/>
        <v>4.3</v>
      </c>
      <c r="J38" s="17">
        <f t="shared" si="43"/>
        <v>2</v>
      </c>
      <c r="K38" s="17">
        <f t="shared" si="44"/>
        <v>53.9</v>
      </c>
      <c r="L38" s="17">
        <f t="shared" si="45"/>
        <v>71</v>
      </c>
      <c r="M38" s="18">
        <f t="shared" si="46"/>
        <v>0.014244606094585574</v>
      </c>
      <c r="N38" s="17">
        <f t="shared" si="38"/>
        <v>0.118</v>
      </c>
      <c r="O38" s="17">
        <f>(N38*1000)/((3.1415/6)*1000*('[1]PM number'!C12*0.000000001)^3*EXP(4.5*1.8^2))</f>
        <v>13115735821957736</v>
      </c>
      <c r="P38" s="19">
        <v>78</v>
      </c>
      <c r="Q38" s="19">
        <v>3</v>
      </c>
      <c r="R38" s="20">
        <f t="shared" si="47"/>
        <v>8</v>
      </c>
      <c r="S38" s="20">
        <f t="shared" si="48"/>
        <v>7.8</v>
      </c>
      <c r="T38" s="20">
        <f t="shared" si="49"/>
        <v>3.99</v>
      </c>
      <c r="U38" s="20">
        <f t="shared" si="50"/>
        <v>4.9</v>
      </c>
      <c r="V38" s="20">
        <f t="shared" si="39"/>
        <v>0.226</v>
      </c>
      <c r="W38" s="17">
        <f>(V38*1000)/((3.1415/6)*1000*('[1]PM number'!$E$12*0.000000001)^3*EXP(4.5*1.8^2))</f>
        <v>4379857687253771</v>
      </c>
      <c r="X38" s="31">
        <f t="shared" si="51"/>
        <v>0.04463881624042166</v>
      </c>
      <c r="Y38" s="19">
        <v>38</v>
      </c>
      <c r="Z38" s="19">
        <v>5.5</v>
      </c>
      <c r="AA38" s="20">
        <f t="shared" si="52"/>
        <v>10</v>
      </c>
      <c r="AB38" s="20">
        <f t="shared" si="53"/>
        <v>5.2</v>
      </c>
      <c r="AC38" s="20">
        <f t="shared" si="54"/>
        <v>8.67</v>
      </c>
      <c r="AD38" s="20">
        <f t="shared" si="55"/>
        <v>10.9</v>
      </c>
      <c r="AE38" s="20">
        <f t="shared" si="40"/>
        <v>0.168</v>
      </c>
      <c r="AF38" s="17">
        <f>(AE38*1000)/((3.1415/6)*1000*('[1]PM number'!$D$12*0.000000001)^3*EXP(4.5*1.8^2))</f>
        <v>14419175941815498</v>
      </c>
      <c r="AG38" s="17">
        <f t="shared" si="56"/>
        <v>0.03035383010364181</v>
      </c>
      <c r="AH38" s="21">
        <f t="shared" si="34"/>
        <v>44.6</v>
      </c>
      <c r="AI38" s="21">
        <f t="shared" si="35"/>
        <v>246</v>
      </c>
      <c r="AJ38" s="21">
        <f t="shared" si="20"/>
        <v>700.8</v>
      </c>
      <c r="AK38" s="21">
        <f t="shared" si="36"/>
        <v>907</v>
      </c>
      <c r="AL38" s="21">
        <f t="shared" si="37"/>
        <v>8</v>
      </c>
      <c r="AM38" s="21">
        <f t="shared" si="23"/>
        <v>31914769451027010</v>
      </c>
      <c r="AN38" s="19">
        <v>1</v>
      </c>
      <c r="AO38" s="19">
        <v>65</v>
      </c>
      <c r="AP38" s="22">
        <f t="shared" si="57"/>
        <v>0.03935383662353625</v>
      </c>
      <c r="AQ38" s="22">
        <f t="shared" si="58"/>
        <v>7</v>
      </c>
      <c r="AR38" s="22">
        <f t="shared" si="59"/>
        <v>4.86</v>
      </c>
      <c r="AS38" s="22">
        <f t="shared" si="60"/>
        <v>6</v>
      </c>
      <c r="AT38" s="22">
        <f t="shared" si="41"/>
        <v>0.208</v>
      </c>
      <c r="AU38" s="23">
        <f t="shared" si="29"/>
        <v>283.3</v>
      </c>
      <c r="AV38" s="23">
        <f t="shared" si="30"/>
        <v>1.98</v>
      </c>
      <c r="AW38" s="23">
        <f t="shared" si="31"/>
        <v>1.38</v>
      </c>
      <c r="AX38" s="23">
        <f t="shared" si="32"/>
        <v>1.7</v>
      </c>
      <c r="AY38" s="23">
        <f t="shared" si="33"/>
        <v>58.9</v>
      </c>
      <c r="AZ38" s="23">
        <f>(AY38*1000)/((3.1415/6)*1000*('[1]PM number'!F20*0.000000001)^3*EXP(4.5*1.8^2))</f>
        <v>1.9397786312951928E+18</v>
      </c>
    </row>
    <row r="39" spans="1:52" ht="12.75">
      <c r="A39" s="24" t="s">
        <v>170</v>
      </c>
      <c r="B39" s="25" t="s">
        <v>171</v>
      </c>
      <c r="C39" s="24" t="s">
        <v>173</v>
      </c>
      <c r="D39" s="24" t="s">
        <v>55</v>
      </c>
      <c r="E39" s="26">
        <v>738</v>
      </c>
      <c r="F39" s="26">
        <v>2</v>
      </c>
      <c r="G39" s="27">
        <v>7</v>
      </c>
      <c r="H39" s="28">
        <v>5</v>
      </c>
      <c r="I39" s="17">
        <f t="shared" si="42"/>
        <v>4.3</v>
      </c>
      <c r="J39" s="17">
        <f t="shared" si="43"/>
        <v>2</v>
      </c>
      <c r="K39" s="17">
        <f t="shared" si="44"/>
        <v>53.9</v>
      </c>
      <c r="L39" s="17">
        <f t="shared" si="45"/>
        <v>71</v>
      </c>
      <c r="M39" s="18">
        <f t="shared" si="46"/>
        <v>0.014244606094585574</v>
      </c>
      <c r="N39" s="17">
        <f t="shared" si="38"/>
        <v>0.118</v>
      </c>
      <c r="O39" s="17">
        <f>(N39*1000)/((3.1415/6)*1000*('[1]PM number'!C12*0.000000001)^3*EXP(4.5*1.8^2))</f>
        <v>13115735821957736</v>
      </c>
      <c r="P39" s="19">
        <v>78</v>
      </c>
      <c r="Q39" s="19">
        <v>3</v>
      </c>
      <c r="R39" s="20">
        <f t="shared" si="47"/>
        <v>8</v>
      </c>
      <c r="S39" s="20">
        <f t="shared" si="48"/>
        <v>7.8</v>
      </c>
      <c r="T39" s="20">
        <f t="shared" si="49"/>
        <v>3.99</v>
      </c>
      <c r="U39" s="20">
        <f t="shared" si="50"/>
        <v>4.9</v>
      </c>
      <c r="V39" s="20">
        <f t="shared" si="39"/>
        <v>0.226</v>
      </c>
      <c r="W39" s="17">
        <f>(V39*1000)/((3.1415/6)*1000*('[1]PM number'!$E$12*0.000000001)^3*EXP(4.5*1.8^2))</f>
        <v>4379857687253771</v>
      </c>
      <c r="X39">
        <f t="shared" si="51"/>
        <v>0.04463881624042166</v>
      </c>
      <c r="Y39" s="19">
        <v>38</v>
      </c>
      <c r="Z39" s="19">
        <v>5.5</v>
      </c>
      <c r="AA39" s="20">
        <f t="shared" si="52"/>
        <v>10</v>
      </c>
      <c r="AB39" s="20">
        <f t="shared" si="53"/>
        <v>5.2</v>
      </c>
      <c r="AC39" s="20">
        <f t="shared" si="54"/>
        <v>8.67</v>
      </c>
      <c r="AD39" s="20">
        <f t="shared" si="55"/>
        <v>10.9</v>
      </c>
      <c r="AE39" s="20">
        <f t="shared" si="40"/>
        <v>0.168</v>
      </c>
      <c r="AF39" s="17">
        <f>(AE39*1000)/((3.1415/6)*1000*('[1]PM number'!$D$12*0.000000001)^3*EXP(4.5*1.8^2))</f>
        <v>14419175941815498</v>
      </c>
      <c r="AG39" s="17">
        <f t="shared" si="56"/>
        <v>0.03035383010364181</v>
      </c>
      <c r="AH39" s="21">
        <f t="shared" si="34"/>
        <v>44.6</v>
      </c>
      <c r="AI39" s="21">
        <f t="shared" si="35"/>
        <v>246</v>
      </c>
      <c r="AJ39" s="21">
        <f t="shared" si="20"/>
        <v>700.8</v>
      </c>
      <c r="AK39" s="21">
        <f t="shared" si="36"/>
        <v>907</v>
      </c>
      <c r="AL39" s="21">
        <f t="shared" si="37"/>
        <v>8</v>
      </c>
      <c r="AM39" s="21">
        <f t="shared" si="23"/>
        <v>31914769451027010</v>
      </c>
      <c r="AN39" s="19">
        <v>1</v>
      </c>
      <c r="AO39" s="19">
        <v>65</v>
      </c>
      <c r="AP39" s="22">
        <f t="shared" si="57"/>
        <v>0.03935383662353625</v>
      </c>
      <c r="AQ39" s="22">
        <f t="shared" si="58"/>
        <v>7</v>
      </c>
      <c r="AR39" s="22">
        <f t="shared" si="59"/>
        <v>4.86</v>
      </c>
      <c r="AS39" s="22">
        <f t="shared" si="60"/>
        <v>6</v>
      </c>
      <c r="AT39" s="22">
        <f t="shared" si="41"/>
        <v>0.208</v>
      </c>
      <c r="AU39" s="23">
        <f t="shared" si="29"/>
        <v>283.3</v>
      </c>
      <c r="AV39" s="23">
        <f t="shared" si="30"/>
        <v>1.98</v>
      </c>
      <c r="AW39" s="23">
        <f t="shared" si="31"/>
        <v>1.38</v>
      </c>
      <c r="AX39" s="23">
        <f t="shared" si="32"/>
        <v>1.7</v>
      </c>
      <c r="AY39" s="23">
        <f t="shared" si="33"/>
        <v>58.9</v>
      </c>
      <c r="AZ39" s="23">
        <f>(AY39*1000)/((3.1415/6)*1000*('[1]PM number'!F20*0.000000001)^3*EXP(4.5*1.8^2))</f>
        <v>1.9397786312951928E+18</v>
      </c>
    </row>
    <row r="40" spans="1:52" ht="25.5">
      <c r="A40" s="24" t="s">
        <v>170</v>
      </c>
      <c r="B40" s="25" t="s">
        <v>146</v>
      </c>
      <c r="C40" s="24" t="s">
        <v>174</v>
      </c>
      <c r="D40" s="24" t="s">
        <v>175</v>
      </c>
      <c r="E40" s="26">
        <v>738</v>
      </c>
      <c r="F40" s="26">
        <v>2</v>
      </c>
      <c r="G40" s="27">
        <v>7</v>
      </c>
      <c r="H40" s="28">
        <v>5</v>
      </c>
      <c r="I40" s="17">
        <f t="shared" si="42"/>
        <v>4.3</v>
      </c>
      <c r="J40" s="17">
        <f t="shared" si="43"/>
        <v>2</v>
      </c>
      <c r="K40" s="17">
        <f t="shared" si="44"/>
        <v>53.9</v>
      </c>
      <c r="L40" s="17">
        <f t="shared" si="45"/>
        <v>71</v>
      </c>
      <c r="M40" s="18">
        <f t="shared" si="46"/>
        <v>0.014244606094585574</v>
      </c>
      <c r="N40" s="17">
        <f t="shared" si="38"/>
        <v>0.118</v>
      </c>
      <c r="O40" s="17">
        <f>(N40*1000)/((3.1415/6)*1000*('[1]PM number'!C12*0.000000001)^3*EXP(4.5*1.8^2))</f>
        <v>13115735821957736</v>
      </c>
      <c r="P40" s="19">
        <v>78</v>
      </c>
      <c r="Q40" s="19">
        <v>3</v>
      </c>
      <c r="R40" s="20">
        <f t="shared" si="47"/>
        <v>8</v>
      </c>
      <c r="S40" s="20">
        <f t="shared" si="48"/>
        <v>7.8</v>
      </c>
      <c r="T40" s="20">
        <f t="shared" si="49"/>
        <v>3.99</v>
      </c>
      <c r="U40" s="20">
        <f t="shared" si="50"/>
        <v>4.9</v>
      </c>
      <c r="V40" s="20">
        <f t="shared" si="39"/>
        <v>0.226</v>
      </c>
      <c r="W40" s="17">
        <f>(V40*1000)/((3.1415/6)*1000*('[1]PM number'!$E$12*0.000000001)^3*EXP(4.5*1.8^2))</f>
        <v>4379857687253771</v>
      </c>
      <c r="X40" s="31">
        <f t="shared" si="51"/>
        <v>0.04463881624042166</v>
      </c>
      <c r="Y40" s="19">
        <v>38</v>
      </c>
      <c r="Z40" s="19">
        <v>5.5</v>
      </c>
      <c r="AA40" s="20">
        <f t="shared" si="52"/>
        <v>10</v>
      </c>
      <c r="AB40" s="20">
        <f t="shared" si="53"/>
        <v>5.2</v>
      </c>
      <c r="AC40" s="20">
        <f t="shared" si="54"/>
        <v>8.67</v>
      </c>
      <c r="AD40" s="20">
        <f t="shared" si="55"/>
        <v>10.9</v>
      </c>
      <c r="AE40" s="20">
        <f t="shared" si="40"/>
        <v>0.168</v>
      </c>
      <c r="AF40" s="17">
        <f>(AE40*1000)/((3.1415/6)*1000*('[1]PM number'!$D$12*0.000000001)^3*EXP(4.5*1.8^2))</f>
        <v>14419175941815498</v>
      </c>
      <c r="AG40" s="17">
        <f t="shared" si="56"/>
        <v>0.03035383010364181</v>
      </c>
      <c r="AH40" s="21">
        <f t="shared" si="34"/>
        <v>44.6</v>
      </c>
      <c r="AI40" s="21">
        <f t="shared" si="35"/>
        <v>246</v>
      </c>
      <c r="AJ40" s="21">
        <f t="shared" si="20"/>
        <v>700.8</v>
      </c>
      <c r="AK40" s="21">
        <f t="shared" si="36"/>
        <v>907</v>
      </c>
      <c r="AL40" s="21">
        <f t="shared" si="37"/>
        <v>8</v>
      </c>
      <c r="AM40" s="21">
        <f t="shared" si="23"/>
        <v>31914769451027010</v>
      </c>
      <c r="AN40" s="19">
        <v>0.9</v>
      </c>
      <c r="AO40" s="19">
        <v>65</v>
      </c>
      <c r="AP40" s="22">
        <f t="shared" si="57"/>
        <v>0.03935383662353625</v>
      </c>
      <c r="AQ40" s="22">
        <f t="shared" si="58"/>
        <v>7</v>
      </c>
      <c r="AR40" s="22">
        <f t="shared" si="59"/>
        <v>4.86</v>
      </c>
      <c r="AS40" s="22">
        <f t="shared" si="60"/>
        <v>6</v>
      </c>
      <c r="AT40" s="22">
        <f t="shared" si="41"/>
        <v>0.208</v>
      </c>
      <c r="AU40" s="23">
        <f t="shared" si="29"/>
        <v>255</v>
      </c>
      <c r="AV40" s="23">
        <f t="shared" si="30"/>
        <v>1.79</v>
      </c>
      <c r="AW40" s="23">
        <f t="shared" si="31"/>
        <v>1.24</v>
      </c>
      <c r="AX40" s="23">
        <f t="shared" si="32"/>
        <v>1.53</v>
      </c>
      <c r="AY40" s="23">
        <f t="shared" si="33"/>
        <v>53</v>
      </c>
      <c r="AZ40" s="23">
        <f>(AY40*1000)/((3.1415/6)*1000*('[1]PM number'!F20*0.000000001)^3*EXP(4.5*1.8^2))</f>
        <v>1.745471433932856E+18</v>
      </c>
    </row>
    <row r="41" spans="1:52" ht="25.5">
      <c r="A41" s="24" t="s">
        <v>176</v>
      </c>
      <c r="B41" s="25" t="s">
        <v>153</v>
      </c>
      <c r="C41" s="24" t="s">
        <v>177</v>
      </c>
      <c r="D41" s="24" t="s">
        <v>178</v>
      </c>
      <c r="E41" s="26">
        <v>839</v>
      </c>
      <c r="F41" s="26">
        <v>2</v>
      </c>
      <c r="G41" s="27">
        <v>7</v>
      </c>
      <c r="H41" s="28">
        <v>5</v>
      </c>
      <c r="I41" s="17">
        <f t="shared" si="42"/>
        <v>4.5</v>
      </c>
      <c r="J41" s="17">
        <f t="shared" si="43"/>
        <v>2.1</v>
      </c>
      <c r="K41" s="17">
        <f t="shared" si="44"/>
        <v>46.92</v>
      </c>
      <c r="L41" s="17">
        <f t="shared" si="45"/>
        <v>61.6</v>
      </c>
      <c r="M41" s="18">
        <f t="shared" si="46"/>
        <v>0.015134976138960768</v>
      </c>
      <c r="N41" s="17">
        <f t="shared" si="38"/>
        <v>0.119</v>
      </c>
      <c r="O41" s="17">
        <f>(N41*1000)/((3.1415/6)*1000*('[1]PM number'!C12*0.000000001)^3*EXP(4.5*1.8^2))</f>
        <v>13226886125533650</v>
      </c>
      <c r="P41" s="19">
        <v>78</v>
      </c>
      <c r="Q41" s="19">
        <v>3</v>
      </c>
      <c r="R41" s="20">
        <f t="shared" si="47"/>
        <v>8.9</v>
      </c>
      <c r="S41" s="20">
        <f t="shared" si="48"/>
        <v>8.4</v>
      </c>
      <c r="T41" s="20">
        <f t="shared" si="49"/>
        <v>3.47</v>
      </c>
      <c r="U41" s="20">
        <f t="shared" si="50"/>
        <v>4.2</v>
      </c>
      <c r="V41" s="20">
        <f t="shared" si="39"/>
        <v>0.24</v>
      </c>
      <c r="W41" s="17">
        <f>(V41*1000)/((3.1415/6)*1000*('[1]PM number'!$E$12*0.000000001)^3*EXP(4.5*1.8^2))</f>
        <v>4651176305048252</v>
      </c>
      <c r="X41">
        <f t="shared" si="51"/>
        <v>0.04929418986163176</v>
      </c>
      <c r="Y41" s="19">
        <v>38</v>
      </c>
      <c r="Z41" s="19">
        <v>5.5</v>
      </c>
      <c r="AA41" s="20">
        <f t="shared" si="52"/>
        <v>10.5</v>
      </c>
      <c r="AB41" s="20">
        <f t="shared" si="53"/>
        <v>5.6</v>
      </c>
      <c r="AC41" s="20">
        <f t="shared" si="54"/>
        <v>7.55</v>
      </c>
      <c r="AD41" s="20">
        <f t="shared" si="55"/>
        <v>9.4</v>
      </c>
      <c r="AE41" s="20">
        <f t="shared" si="40"/>
        <v>0.176</v>
      </c>
      <c r="AF41" s="17">
        <f>(AE41*1000)/((3.1415/6)*1000*('[1]PM number'!$D$12*0.000000001)^3*EXP(4.5*1.8^2))</f>
        <v>15105803367616236</v>
      </c>
      <c r="AG41" s="17">
        <f t="shared" si="56"/>
        <v>0.03196868150105225</v>
      </c>
      <c r="AH41" s="21">
        <f t="shared" si="34"/>
        <v>47.8</v>
      </c>
      <c r="AI41" s="21">
        <f t="shared" si="35"/>
        <v>286</v>
      </c>
      <c r="AJ41" s="21">
        <f t="shared" si="20"/>
        <v>642.6</v>
      </c>
      <c r="AK41" s="21">
        <f t="shared" si="36"/>
        <v>826.6</v>
      </c>
      <c r="AL41" s="21">
        <f t="shared" si="37"/>
        <v>9</v>
      </c>
      <c r="AM41" s="21">
        <f t="shared" si="23"/>
        <v>32983865798198136</v>
      </c>
      <c r="AN41" s="19">
        <v>1</v>
      </c>
      <c r="AO41" s="19">
        <v>65</v>
      </c>
      <c r="AP41" s="22">
        <f t="shared" si="57"/>
        <v>0.04290830424482726</v>
      </c>
      <c r="AQ41" s="22">
        <f t="shared" si="58"/>
        <v>7.6</v>
      </c>
      <c r="AR41" s="22">
        <f t="shared" si="59"/>
        <v>4.23</v>
      </c>
      <c r="AS41" s="22">
        <f t="shared" si="60"/>
        <v>5.2</v>
      </c>
      <c r="AT41" s="22">
        <f t="shared" si="41"/>
        <v>0.22</v>
      </c>
      <c r="AU41" s="23">
        <f t="shared" si="29"/>
        <v>308.9</v>
      </c>
      <c r="AV41" s="23">
        <f t="shared" si="30"/>
        <v>2.35</v>
      </c>
      <c r="AW41" s="23">
        <f t="shared" si="31"/>
        <v>1.31</v>
      </c>
      <c r="AX41" s="23">
        <f t="shared" si="32"/>
        <v>1.61</v>
      </c>
      <c r="AY41" s="23">
        <f t="shared" si="33"/>
        <v>68</v>
      </c>
      <c r="AZ41" s="23">
        <f>(AY41*1000)/((3.1415/6)*1000*('[1]PM number'!F20*0.000000001)^3*EXP(4.5*1.8^2))</f>
        <v>2.239472783159136E+18</v>
      </c>
    </row>
    <row r="42" spans="1:52" ht="12.75">
      <c r="A42" s="24" t="s">
        <v>176</v>
      </c>
      <c r="B42" s="25" t="s">
        <v>179</v>
      </c>
      <c r="C42" s="24" t="s">
        <v>180</v>
      </c>
      <c r="D42" s="24" t="s">
        <v>181</v>
      </c>
      <c r="E42" s="26">
        <v>839</v>
      </c>
      <c r="F42" s="26">
        <v>2</v>
      </c>
      <c r="G42" s="27">
        <v>7</v>
      </c>
      <c r="H42" s="28">
        <v>5</v>
      </c>
      <c r="I42" s="17">
        <f t="shared" si="42"/>
        <v>4.5</v>
      </c>
      <c r="J42" s="17">
        <f t="shared" si="43"/>
        <v>2.1</v>
      </c>
      <c r="K42" s="17">
        <f t="shared" si="44"/>
        <v>46.92</v>
      </c>
      <c r="L42" s="17">
        <f t="shared" si="45"/>
        <v>61.6</v>
      </c>
      <c r="M42" s="18">
        <f t="shared" si="46"/>
        <v>0.015134976138960768</v>
      </c>
      <c r="N42" s="17">
        <f t="shared" si="38"/>
        <v>0.119</v>
      </c>
      <c r="O42" s="17">
        <f>(N42*1000)/((3.1415/6)*1000*('[1]PM number'!C12*0.000000001)^3*EXP(4.5*1.8^2))</f>
        <v>13226886125533650</v>
      </c>
      <c r="P42" s="19">
        <v>78</v>
      </c>
      <c r="Q42" s="19">
        <v>3</v>
      </c>
      <c r="R42" s="20">
        <f t="shared" si="47"/>
        <v>8.9</v>
      </c>
      <c r="S42" s="20">
        <f t="shared" si="48"/>
        <v>8.4</v>
      </c>
      <c r="T42" s="20">
        <f t="shared" si="49"/>
        <v>3.47</v>
      </c>
      <c r="U42" s="20">
        <f t="shared" si="50"/>
        <v>4.2</v>
      </c>
      <c r="V42" s="20">
        <f t="shared" si="39"/>
        <v>0.24</v>
      </c>
      <c r="W42" s="17">
        <f>(V42*1000)/((3.1415/6)*1000*('[1]PM number'!$E$12*0.000000001)^3*EXP(4.5*1.8^2))</f>
        <v>4651176305048252</v>
      </c>
      <c r="X42">
        <f t="shared" si="51"/>
        <v>0.04929418986163176</v>
      </c>
      <c r="Y42" s="19">
        <v>38</v>
      </c>
      <c r="Z42" s="19">
        <v>5.5</v>
      </c>
      <c r="AA42" s="20">
        <f t="shared" si="52"/>
        <v>10.5</v>
      </c>
      <c r="AB42" s="20">
        <f t="shared" si="53"/>
        <v>5.6</v>
      </c>
      <c r="AC42" s="20">
        <f t="shared" si="54"/>
        <v>7.55</v>
      </c>
      <c r="AD42" s="20">
        <f t="shared" si="55"/>
        <v>9.4</v>
      </c>
      <c r="AE42" s="20">
        <f t="shared" si="40"/>
        <v>0.176</v>
      </c>
      <c r="AF42" s="17">
        <f>(AE42*1000)/((3.1415/6)*1000*('[1]PM number'!$D$12*0.000000001)^3*EXP(4.5*1.8^2))</f>
        <v>15105803367616236</v>
      </c>
      <c r="AG42" s="17">
        <f t="shared" si="56"/>
        <v>0.03196868150105225</v>
      </c>
      <c r="AH42" s="21">
        <f t="shared" si="34"/>
        <v>47.8</v>
      </c>
      <c r="AI42" s="21">
        <f t="shared" si="35"/>
        <v>286</v>
      </c>
      <c r="AJ42" s="21">
        <f t="shared" si="20"/>
        <v>642.6</v>
      </c>
      <c r="AK42" s="21">
        <f t="shared" si="36"/>
        <v>826.6</v>
      </c>
      <c r="AL42" s="21">
        <f t="shared" si="37"/>
        <v>9</v>
      </c>
      <c r="AM42" s="21">
        <f t="shared" si="23"/>
        <v>32983865798198136</v>
      </c>
      <c r="AN42" s="19">
        <v>1</v>
      </c>
      <c r="AO42" s="19">
        <v>65</v>
      </c>
      <c r="AP42" s="22">
        <f t="shared" si="57"/>
        <v>0.04290830424482726</v>
      </c>
      <c r="AQ42" s="22">
        <f t="shared" si="58"/>
        <v>7.6</v>
      </c>
      <c r="AR42" s="22">
        <f t="shared" si="59"/>
        <v>4.23</v>
      </c>
      <c r="AS42" s="22">
        <f t="shared" si="60"/>
        <v>5.2</v>
      </c>
      <c r="AT42" s="22">
        <f t="shared" si="41"/>
        <v>0.22</v>
      </c>
      <c r="AU42" s="23">
        <f t="shared" si="29"/>
        <v>308.9</v>
      </c>
      <c r="AV42" s="23">
        <f t="shared" si="30"/>
        <v>2.35</v>
      </c>
      <c r="AW42" s="23">
        <f t="shared" si="31"/>
        <v>1.31</v>
      </c>
      <c r="AX42" s="23">
        <f t="shared" si="32"/>
        <v>1.61</v>
      </c>
      <c r="AY42" s="23">
        <f t="shared" si="33"/>
        <v>68</v>
      </c>
      <c r="AZ42" s="23">
        <f>(AY42*1000)/((3.1415/6)*1000*('[1]PM number'!F20*0.000000001)^3*EXP(4.5*1.8^2))</f>
        <v>2.239472783159136E+18</v>
      </c>
    </row>
    <row r="43" spans="1:52" ht="12.75">
      <c r="A43" s="24" t="s">
        <v>182</v>
      </c>
      <c r="B43" s="25" t="s">
        <v>179</v>
      </c>
      <c r="C43" s="24" t="s">
        <v>183</v>
      </c>
      <c r="D43" s="24" t="s">
        <v>184</v>
      </c>
      <c r="E43" s="26">
        <v>944</v>
      </c>
      <c r="F43" s="26">
        <v>2</v>
      </c>
      <c r="G43" s="27">
        <v>7</v>
      </c>
      <c r="H43" s="28">
        <v>5</v>
      </c>
      <c r="I43" s="17">
        <f t="shared" si="42"/>
        <v>4.8</v>
      </c>
      <c r="J43" s="17">
        <f t="shared" si="43"/>
        <v>2.3</v>
      </c>
      <c r="K43" s="17">
        <f t="shared" si="44"/>
        <v>41.31</v>
      </c>
      <c r="L43" s="17">
        <f t="shared" si="45"/>
        <v>54</v>
      </c>
      <c r="M43" s="18">
        <f t="shared" si="46"/>
        <v>0.01601709055795306</v>
      </c>
      <c r="N43" s="17">
        <f t="shared" si="38"/>
        <v>0.121</v>
      </c>
      <c r="O43" s="17">
        <f>(N43*1000)/((3.1415/6)*1000*('[1]PM number'!C12*0.000000001)^3*EXP(4.5*1.8^2))</f>
        <v>13449186732685476</v>
      </c>
      <c r="P43" s="19">
        <v>78</v>
      </c>
      <c r="Q43" s="19">
        <v>3</v>
      </c>
      <c r="R43" s="20">
        <f t="shared" si="47"/>
        <v>9.7</v>
      </c>
      <c r="S43" s="20">
        <f t="shared" si="48"/>
        <v>9</v>
      </c>
      <c r="T43" s="20">
        <f t="shared" si="49"/>
        <v>3.06</v>
      </c>
      <c r="U43" s="20">
        <f t="shared" si="50"/>
        <v>3.7</v>
      </c>
      <c r="V43" s="20">
        <f t="shared" si="39"/>
        <v>0.254</v>
      </c>
      <c r="W43" s="17">
        <f>(V43*1000)/((3.1415/6)*1000*('[1]PM number'!$E$12*0.000000001)^3*EXP(4.5*1.8^2))</f>
        <v>4922494922842734</v>
      </c>
      <c r="X43">
        <f t="shared" si="51"/>
        <v>0.05416476942647893</v>
      </c>
      <c r="Y43" s="19">
        <v>38</v>
      </c>
      <c r="Z43" s="19">
        <v>5.5</v>
      </c>
      <c r="AA43" s="20">
        <f t="shared" si="52"/>
        <v>11.1</v>
      </c>
      <c r="AB43" s="20">
        <f t="shared" si="53"/>
        <v>6</v>
      </c>
      <c r="AC43" s="20">
        <f t="shared" si="54"/>
        <v>6.65</v>
      </c>
      <c r="AD43" s="20">
        <f t="shared" si="55"/>
        <v>8.3</v>
      </c>
      <c r="AE43" s="20">
        <f t="shared" si="40"/>
        <v>0.184</v>
      </c>
      <c r="AF43" s="17">
        <f>(AE43*1000)/((3.1415/6)*1000*('[1]PM number'!$D$12*0.000000001)^3*EXP(4.5*1.8^2))</f>
        <v>15792430793416974</v>
      </c>
      <c r="AG43" s="17">
        <f t="shared" si="56"/>
        <v>0.03365766828282633</v>
      </c>
      <c r="AH43" s="21">
        <f t="shared" si="34"/>
        <v>51.2</v>
      </c>
      <c r="AI43" s="21">
        <f t="shared" si="35"/>
        <v>329.9</v>
      </c>
      <c r="AJ43" s="21">
        <f t="shared" si="20"/>
        <v>603.6</v>
      </c>
      <c r="AK43" s="21">
        <f t="shared" si="36"/>
        <v>774.4</v>
      </c>
      <c r="AL43" s="21">
        <f t="shared" si="37"/>
        <v>10.2</v>
      </c>
      <c r="AM43" s="21">
        <f t="shared" si="23"/>
        <v>34164112448945184</v>
      </c>
      <c r="AN43" s="19">
        <v>1</v>
      </c>
      <c r="AO43" s="19">
        <v>65</v>
      </c>
      <c r="AP43" s="22">
        <f t="shared" si="57"/>
        <v>0.04686303507471532</v>
      </c>
      <c r="AQ43" s="22">
        <f t="shared" si="58"/>
        <v>8.1</v>
      </c>
      <c r="AR43" s="22">
        <f t="shared" si="59"/>
        <v>3.72</v>
      </c>
      <c r="AS43" s="22">
        <f t="shared" si="60"/>
        <v>4.6</v>
      </c>
      <c r="AT43" s="22">
        <f t="shared" si="41"/>
        <v>0.233</v>
      </c>
      <c r="AU43" s="23">
        <f t="shared" si="29"/>
        <v>337.4</v>
      </c>
      <c r="AV43" s="23">
        <f t="shared" si="30"/>
        <v>2.73</v>
      </c>
      <c r="AW43" s="23">
        <f t="shared" si="31"/>
        <v>1.26</v>
      </c>
      <c r="AX43" s="23">
        <f t="shared" si="32"/>
        <v>1.55</v>
      </c>
      <c r="AY43" s="23">
        <f t="shared" si="33"/>
        <v>78.6</v>
      </c>
      <c r="AZ43" s="23">
        <f>(AY43*1000)/((3.1415/6)*1000*('[1]PM number'!F20*0.000000001)^3*EXP(4.5*1.8^2))</f>
        <v>2.5885670699457075E+18</v>
      </c>
    </row>
    <row r="44" spans="1:52" ht="25.5">
      <c r="A44" s="24" t="s">
        <v>185</v>
      </c>
      <c r="B44" s="25" t="s">
        <v>186</v>
      </c>
      <c r="C44" s="24" t="s">
        <v>187</v>
      </c>
      <c r="D44" s="24" t="s">
        <v>188</v>
      </c>
      <c r="E44" s="26">
        <v>856</v>
      </c>
      <c r="F44" s="26">
        <v>2</v>
      </c>
      <c r="G44" s="27">
        <v>7</v>
      </c>
      <c r="H44" s="28">
        <v>5</v>
      </c>
      <c r="I44" s="17">
        <f t="shared" si="42"/>
        <v>4.6</v>
      </c>
      <c r="J44" s="17">
        <f t="shared" si="43"/>
        <v>2.2</v>
      </c>
      <c r="K44" s="17">
        <f t="shared" si="44"/>
        <v>45.92</v>
      </c>
      <c r="L44" s="17">
        <f t="shared" si="45"/>
        <v>60.2</v>
      </c>
      <c r="M44" s="18">
        <f t="shared" si="46"/>
        <v>0.015280747955583823</v>
      </c>
      <c r="N44" s="17">
        <f t="shared" si="38"/>
        <v>0.12</v>
      </c>
      <c r="O44" s="17">
        <f>(N44*1000)/((3.1415/6)*1000*('[1]PM number'!C12*0.000000001)^3*EXP(4.5*1.8^2))</f>
        <v>13338036429109562</v>
      </c>
      <c r="P44" s="19">
        <v>78</v>
      </c>
      <c r="Q44" s="19">
        <v>3</v>
      </c>
      <c r="R44" s="20">
        <f t="shared" si="47"/>
        <v>9</v>
      </c>
      <c r="S44" s="20">
        <f t="shared" si="48"/>
        <v>8.5</v>
      </c>
      <c r="T44" s="20">
        <f t="shared" si="49"/>
        <v>3.4</v>
      </c>
      <c r="U44" s="20">
        <f t="shared" si="50"/>
        <v>4.1</v>
      </c>
      <c r="V44" s="20">
        <f t="shared" si="39"/>
        <v>0.242</v>
      </c>
      <c r="W44" s="17">
        <f>(V44*1000)/((3.1415/6)*1000*('[1]PM number'!$E$12*0.000000001)^3*EXP(4.5*1.8^2))</f>
        <v>4689936107590321</v>
      </c>
      <c r="X44">
        <f t="shared" si="51"/>
        <v>0.050087113440362964</v>
      </c>
      <c r="Y44" s="19">
        <v>38</v>
      </c>
      <c r="Z44" s="19">
        <v>5.5</v>
      </c>
      <c r="AA44" s="20">
        <f t="shared" si="52"/>
        <v>10.6</v>
      </c>
      <c r="AB44" s="20">
        <f t="shared" si="53"/>
        <v>5.6</v>
      </c>
      <c r="AC44" s="20">
        <f t="shared" si="54"/>
        <v>7.39</v>
      </c>
      <c r="AD44" s="20">
        <f t="shared" si="55"/>
        <v>9.2</v>
      </c>
      <c r="AE44" s="20">
        <f t="shared" si="40"/>
        <v>0.177</v>
      </c>
      <c r="AF44" s="17">
        <f>(AE44*1000)/((3.1415/6)*1000*('[1]PM number'!$D$12*0.000000001)^3*EXP(4.5*1.8^2))</f>
        <v>15191631795841328</v>
      </c>
      <c r="AG44" s="17">
        <f t="shared" si="56"/>
        <v>0.032239507035660885</v>
      </c>
      <c r="AH44" s="21">
        <f t="shared" si="34"/>
        <v>48.4</v>
      </c>
      <c r="AI44" s="21">
        <f t="shared" si="35"/>
        <v>292</v>
      </c>
      <c r="AJ44" s="21">
        <f t="shared" si="20"/>
        <v>640.3</v>
      </c>
      <c r="AK44" s="21">
        <f t="shared" si="36"/>
        <v>822.7</v>
      </c>
      <c r="AL44" s="21">
        <f t="shared" si="37"/>
        <v>9.2</v>
      </c>
      <c r="AM44" s="21">
        <f t="shared" si="23"/>
        <v>33219604332541212</v>
      </c>
      <c r="AN44" s="19">
        <v>1</v>
      </c>
      <c r="AO44" s="19">
        <v>65</v>
      </c>
      <c r="AP44" s="22">
        <f t="shared" si="57"/>
        <v>0.04353407624177671</v>
      </c>
      <c r="AQ44" s="22">
        <f t="shared" si="58"/>
        <v>7.6</v>
      </c>
      <c r="AR44" s="22">
        <f t="shared" si="59"/>
        <v>4.14</v>
      </c>
      <c r="AS44" s="22">
        <f t="shared" si="60"/>
        <v>5.1</v>
      </c>
      <c r="AT44" s="22">
        <f t="shared" si="41"/>
        <v>0.222</v>
      </c>
      <c r="AU44" s="23">
        <f t="shared" si="29"/>
        <v>313.4</v>
      </c>
      <c r="AV44" s="23">
        <f t="shared" si="30"/>
        <v>2.38</v>
      </c>
      <c r="AW44" s="23">
        <f t="shared" si="31"/>
        <v>1.3</v>
      </c>
      <c r="AX44" s="23">
        <f t="shared" si="32"/>
        <v>1.6</v>
      </c>
      <c r="AY44" s="23">
        <f t="shared" si="33"/>
        <v>69.6</v>
      </c>
      <c r="AZ44" s="23">
        <f>(AY44*1000)/((3.1415/6)*1000*('[1]PM number'!F20*0.000000001)^3*EXP(4.5*1.8^2))</f>
        <v>2.2921662604099392E+18</v>
      </c>
    </row>
    <row r="45" spans="1:52" ht="25.5">
      <c r="A45" s="24" t="s">
        <v>189</v>
      </c>
      <c r="B45" s="25" t="s">
        <v>186</v>
      </c>
      <c r="C45" s="24" t="s">
        <v>190</v>
      </c>
      <c r="D45" s="24" t="s">
        <v>191</v>
      </c>
      <c r="E45" s="26">
        <v>897</v>
      </c>
      <c r="F45" s="26">
        <v>2</v>
      </c>
      <c r="G45" s="27">
        <v>7</v>
      </c>
      <c r="H45" s="28">
        <v>5</v>
      </c>
      <c r="I45" s="17">
        <f t="shared" si="42"/>
        <v>4.7</v>
      </c>
      <c r="J45" s="17">
        <f t="shared" si="43"/>
        <v>2.2</v>
      </c>
      <c r="K45" s="17">
        <f t="shared" si="44"/>
        <v>43.66</v>
      </c>
      <c r="L45" s="17">
        <f t="shared" si="45"/>
        <v>57.2</v>
      </c>
      <c r="M45" s="18">
        <f t="shared" si="46"/>
        <v>0.015627585402769317</v>
      </c>
      <c r="N45" s="17">
        <f t="shared" si="38"/>
        <v>0.12</v>
      </c>
      <c r="O45" s="17">
        <f>(N45*1000)/((3.1415/6)*1000*('[1]PM number'!C12*0.000000001)^3*EXP(4.5*1.8^2))</f>
        <v>13338036429109562</v>
      </c>
      <c r="P45" s="19">
        <v>78</v>
      </c>
      <c r="Q45" s="19">
        <v>3</v>
      </c>
      <c r="R45" s="20">
        <f t="shared" si="47"/>
        <v>9.4</v>
      </c>
      <c r="S45" s="20">
        <f t="shared" si="48"/>
        <v>8.7</v>
      </c>
      <c r="T45" s="20">
        <f t="shared" si="49"/>
        <v>3.23</v>
      </c>
      <c r="U45" s="20">
        <f t="shared" si="50"/>
        <v>3.9</v>
      </c>
      <c r="V45" s="20">
        <f t="shared" si="39"/>
        <v>0.248</v>
      </c>
      <c r="W45" s="17">
        <f>(V45*1000)/((3.1415/6)*1000*('[1]PM number'!$E$12*0.000000001)^3*EXP(4.5*1.8^2))</f>
        <v>4806215515216527</v>
      </c>
      <c r="X45">
        <f t="shared" si="51"/>
        <v>0.051996066719008076</v>
      </c>
      <c r="Y45" s="19">
        <v>38</v>
      </c>
      <c r="Z45" s="19">
        <v>5.5</v>
      </c>
      <c r="AA45" s="20">
        <f t="shared" si="52"/>
        <v>10.9</v>
      </c>
      <c r="AB45" s="20">
        <f t="shared" si="53"/>
        <v>5.8</v>
      </c>
      <c r="AC45" s="20">
        <f t="shared" si="54"/>
        <v>7.02</v>
      </c>
      <c r="AD45" s="20">
        <f t="shared" si="55"/>
        <v>8.7</v>
      </c>
      <c r="AE45" s="20">
        <f t="shared" si="40"/>
        <v>0.181</v>
      </c>
      <c r="AF45" s="17">
        <f>(AE45*1000)/((3.1415/6)*1000*('[1]PM number'!$D$12*0.000000001)^3*EXP(4.5*1.8^2))</f>
        <v>15534945508741698</v>
      </c>
      <c r="AG45" s="17">
        <f t="shared" si="56"/>
        <v>0.03289581272167048</v>
      </c>
      <c r="AH45" s="21">
        <f t="shared" si="34"/>
        <v>50</v>
      </c>
      <c r="AI45" s="21">
        <f t="shared" si="35"/>
        <v>310.7</v>
      </c>
      <c r="AJ45" s="21">
        <f t="shared" si="20"/>
        <v>624.2</v>
      </c>
      <c r="AK45" s="21">
        <f t="shared" si="36"/>
        <v>800.7</v>
      </c>
      <c r="AL45" s="21">
        <f t="shared" si="37"/>
        <v>9.7</v>
      </c>
      <c r="AM45" s="21">
        <f t="shared" si="23"/>
        <v>33679197453067784</v>
      </c>
      <c r="AN45" s="19">
        <v>1</v>
      </c>
      <c r="AO45" s="19">
        <v>65</v>
      </c>
      <c r="AP45" s="22">
        <f t="shared" si="57"/>
        <v>0.045068845052216915</v>
      </c>
      <c r="AQ45" s="22">
        <f t="shared" si="58"/>
        <v>7.9</v>
      </c>
      <c r="AR45" s="22">
        <f t="shared" si="59"/>
        <v>3.93</v>
      </c>
      <c r="AS45" s="22">
        <f t="shared" si="60"/>
        <v>4.8</v>
      </c>
      <c r="AT45" s="22">
        <f t="shared" si="41"/>
        <v>0.227</v>
      </c>
      <c r="AU45" s="23">
        <f t="shared" si="29"/>
        <v>324.5</v>
      </c>
      <c r="AV45" s="23">
        <f t="shared" si="30"/>
        <v>2.56</v>
      </c>
      <c r="AW45" s="23">
        <f t="shared" si="31"/>
        <v>1.28</v>
      </c>
      <c r="AX45" s="23">
        <f t="shared" si="32"/>
        <v>1.56</v>
      </c>
      <c r="AY45" s="23">
        <f t="shared" si="33"/>
        <v>73.7</v>
      </c>
      <c r="AZ45" s="23">
        <f>(AY45*1000)/((3.1415/6)*1000*('[1]PM number'!F20*0.000000001)^3*EXP(4.5*1.8^2))</f>
        <v>2.4271932958651223E+18</v>
      </c>
    </row>
    <row r="46" spans="1:52" ht="12.75">
      <c r="A46" s="24" t="s">
        <v>192</v>
      </c>
      <c r="B46" s="25" t="s">
        <v>149</v>
      </c>
      <c r="C46" s="24" t="s">
        <v>193</v>
      </c>
      <c r="D46" s="24" t="s">
        <v>194</v>
      </c>
      <c r="E46" s="26">
        <v>480</v>
      </c>
      <c r="F46" s="26">
        <v>2</v>
      </c>
      <c r="G46" s="27">
        <v>7</v>
      </c>
      <c r="H46" s="28">
        <v>5</v>
      </c>
      <c r="I46" s="17">
        <f t="shared" si="42"/>
        <v>3.4</v>
      </c>
      <c r="J46" s="17">
        <f t="shared" si="43"/>
        <v>1.6</v>
      </c>
      <c r="K46" s="17">
        <f t="shared" si="44"/>
        <v>85.77</v>
      </c>
      <c r="L46" s="17">
        <f t="shared" si="45"/>
        <v>114.4</v>
      </c>
      <c r="M46" s="18">
        <f t="shared" si="46"/>
        <v>0.011447899605592376</v>
      </c>
      <c r="N46" s="17">
        <f t="shared" si="38"/>
        <v>0.113</v>
      </c>
      <c r="O46" s="17">
        <f>(N46*1000)/((3.1415/6)*1000*('[1]PM number'!C12*0.000000001)^3*EXP(4.5*1.8^2))</f>
        <v>12559984304078172</v>
      </c>
      <c r="P46" s="19">
        <v>78</v>
      </c>
      <c r="Q46" s="19">
        <v>3</v>
      </c>
      <c r="R46" s="20">
        <f t="shared" si="47"/>
        <v>6</v>
      </c>
      <c r="S46" s="20">
        <f t="shared" si="48"/>
        <v>6.1</v>
      </c>
      <c r="T46" s="20">
        <f t="shared" si="49"/>
        <v>6.35</v>
      </c>
      <c r="U46" s="20">
        <f t="shared" si="50"/>
        <v>7.9</v>
      </c>
      <c r="V46" s="20">
        <f t="shared" si="39"/>
        <v>0.187</v>
      </c>
      <c r="W46" s="17">
        <f>(V46*1000)/((3.1415/6)*1000*('[1]PM number'!$E$12*0.000000001)^3*EXP(4.5*1.8^2))</f>
        <v>3624041537683430</v>
      </c>
      <c r="X46">
        <f t="shared" si="51"/>
        <v>0.03318737396220839</v>
      </c>
      <c r="Y46" s="19">
        <v>38</v>
      </c>
      <c r="Z46" s="19">
        <v>5.5</v>
      </c>
      <c r="AA46" s="20">
        <f t="shared" si="52"/>
        <v>8.1</v>
      </c>
      <c r="AB46" s="20">
        <f t="shared" si="53"/>
        <v>4.1</v>
      </c>
      <c r="AC46" s="20">
        <f t="shared" si="54"/>
        <v>13.8</v>
      </c>
      <c r="AD46" s="20">
        <f t="shared" si="55"/>
        <v>17.5</v>
      </c>
      <c r="AE46" s="20">
        <f t="shared" si="40"/>
        <v>0.147</v>
      </c>
      <c r="AF46" s="17">
        <f>(AE46*1000)/((3.1415/6)*1000*('[1]PM number'!$D$12*0.000000001)^3*EXP(4.5*1.8^2))</f>
        <v>12616778949088562</v>
      </c>
      <c r="AG46" s="17">
        <f t="shared" si="56"/>
        <v>0.02451481260641027</v>
      </c>
      <c r="AH46" s="21">
        <f t="shared" si="34"/>
        <v>35</v>
      </c>
      <c r="AI46" s="21">
        <f t="shared" si="35"/>
        <v>150.5</v>
      </c>
      <c r="AJ46" s="21">
        <f t="shared" si="20"/>
        <v>883</v>
      </c>
      <c r="AK46" s="21">
        <f t="shared" si="36"/>
        <v>1156.2</v>
      </c>
      <c r="AL46" s="21">
        <f t="shared" si="37"/>
        <v>5.4</v>
      </c>
      <c r="AM46" s="21">
        <f t="shared" si="23"/>
        <v>28800804790850164</v>
      </c>
      <c r="AN46" s="19">
        <v>1</v>
      </c>
      <c r="AO46" s="19">
        <v>65</v>
      </c>
      <c r="AP46" s="22">
        <f t="shared" si="57"/>
        <v>0.030021604384354316</v>
      </c>
      <c r="AQ46" s="22">
        <f t="shared" si="58"/>
        <v>5.5</v>
      </c>
      <c r="AR46" s="22">
        <f t="shared" si="59"/>
        <v>7.73</v>
      </c>
      <c r="AS46" s="22">
        <f t="shared" si="60"/>
        <v>9.6</v>
      </c>
      <c r="AT46" s="22">
        <f t="shared" si="41"/>
        <v>0.175</v>
      </c>
      <c r="AU46" s="23">
        <f t="shared" si="29"/>
        <v>216.2</v>
      </c>
      <c r="AV46" s="23">
        <f t="shared" si="30"/>
        <v>1.19</v>
      </c>
      <c r="AW46" s="23">
        <f t="shared" si="31"/>
        <v>1.67</v>
      </c>
      <c r="AX46" s="23">
        <f t="shared" si="32"/>
        <v>2.08</v>
      </c>
      <c r="AY46" s="23">
        <f t="shared" si="33"/>
        <v>37.8</v>
      </c>
      <c r="AZ46" s="23">
        <f>(AY46*1000)/((3.1415/6)*1000*('[1]PM number'!F20*0.000000001)^3*EXP(4.5*1.8^2))</f>
        <v>1.2448834000502257E+18</v>
      </c>
    </row>
    <row r="47" spans="1:52" ht="25.5">
      <c r="A47" s="24" t="s">
        <v>192</v>
      </c>
      <c r="B47" s="29" t="s">
        <v>149</v>
      </c>
      <c r="C47" s="30" t="s">
        <v>195</v>
      </c>
      <c r="D47" s="30" t="s">
        <v>196</v>
      </c>
      <c r="E47" s="26">
        <v>480</v>
      </c>
      <c r="F47" s="26">
        <v>2</v>
      </c>
      <c r="G47" s="27">
        <v>7</v>
      </c>
      <c r="H47" s="28">
        <v>5</v>
      </c>
      <c r="I47" s="17">
        <f t="shared" si="42"/>
        <v>3.4</v>
      </c>
      <c r="J47" s="17">
        <f t="shared" si="43"/>
        <v>1.6</v>
      </c>
      <c r="K47" s="17">
        <f t="shared" si="44"/>
        <v>85.77</v>
      </c>
      <c r="L47" s="17">
        <f t="shared" si="45"/>
        <v>114.4</v>
      </c>
      <c r="M47" s="18">
        <f t="shared" si="46"/>
        <v>0.011447899605592376</v>
      </c>
      <c r="N47" s="17">
        <f t="shared" si="38"/>
        <v>0.113</v>
      </c>
      <c r="O47" s="17">
        <f>(N47*1000)/((3.1415/6)*1000*('[1]PM number'!C12*0.000000001)^3*EXP(4.5*1.8^2))</f>
        <v>12559984304078172</v>
      </c>
      <c r="P47" s="19">
        <v>78</v>
      </c>
      <c r="Q47" s="19">
        <v>3</v>
      </c>
      <c r="R47" s="20">
        <f t="shared" si="47"/>
        <v>6</v>
      </c>
      <c r="S47" s="20">
        <f t="shared" si="48"/>
        <v>6.1</v>
      </c>
      <c r="T47" s="20">
        <f t="shared" si="49"/>
        <v>6.35</v>
      </c>
      <c r="U47" s="20">
        <f t="shared" si="50"/>
        <v>7.9</v>
      </c>
      <c r="V47" s="20">
        <f t="shared" si="39"/>
        <v>0.187</v>
      </c>
      <c r="W47" s="17">
        <f>(V47*1000)/((3.1415/6)*1000*('[1]PM number'!$E$12*0.000000001)^3*EXP(4.5*1.8^2))</f>
        <v>3624041537683430</v>
      </c>
      <c r="X47">
        <f t="shared" si="51"/>
        <v>0.03318737396220839</v>
      </c>
      <c r="Y47" s="19">
        <v>38</v>
      </c>
      <c r="Z47" s="19">
        <v>5.5</v>
      </c>
      <c r="AA47" s="20">
        <f t="shared" si="52"/>
        <v>8.1</v>
      </c>
      <c r="AB47" s="20">
        <f t="shared" si="53"/>
        <v>4.1</v>
      </c>
      <c r="AC47" s="20">
        <f t="shared" si="54"/>
        <v>13.8</v>
      </c>
      <c r="AD47" s="20">
        <f t="shared" si="55"/>
        <v>17.5</v>
      </c>
      <c r="AE47" s="20">
        <f t="shared" si="40"/>
        <v>0.147</v>
      </c>
      <c r="AF47" s="17">
        <f>(AE47*1000)/((3.1415/6)*1000*('[1]PM number'!$D$12*0.000000001)^3*EXP(4.5*1.8^2))</f>
        <v>12616778949088562</v>
      </c>
      <c r="AG47" s="17">
        <f t="shared" si="56"/>
        <v>0.02451481260641027</v>
      </c>
      <c r="AH47" s="21">
        <f t="shared" si="34"/>
        <v>35</v>
      </c>
      <c r="AI47" s="21">
        <f t="shared" si="35"/>
        <v>150.5</v>
      </c>
      <c r="AJ47" s="21">
        <f t="shared" si="20"/>
        <v>883</v>
      </c>
      <c r="AK47" s="21">
        <f t="shared" si="36"/>
        <v>1156.2</v>
      </c>
      <c r="AL47" s="21">
        <f t="shared" si="37"/>
        <v>5.4</v>
      </c>
      <c r="AM47" s="21">
        <f t="shared" si="23"/>
        <v>28800804790850164</v>
      </c>
      <c r="AN47" s="19">
        <v>1</v>
      </c>
      <c r="AO47" s="19">
        <v>65</v>
      </c>
      <c r="AP47" s="22">
        <f t="shared" si="57"/>
        <v>0.030021604384354316</v>
      </c>
      <c r="AQ47" s="22">
        <f t="shared" si="58"/>
        <v>5.5</v>
      </c>
      <c r="AR47" s="22">
        <f t="shared" si="59"/>
        <v>7.73</v>
      </c>
      <c r="AS47" s="22">
        <f t="shared" si="60"/>
        <v>9.6</v>
      </c>
      <c r="AT47" s="22">
        <f t="shared" si="41"/>
        <v>0.175</v>
      </c>
      <c r="AU47" s="23">
        <f t="shared" si="29"/>
        <v>216.2</v>
      </c>
      <c r="AV47" s="23">
        <f t="shared" si="30"/>
        <v>1.19</v>
      </c>
      <c r="AW47" s="23">
        <f t="shared" si="31"/>
        <v>1.67</v>
      </c>
      <c r="AX47" s="23">
        <f t="shared" si="32"/>
        <v>2.08</v>
      </c>
      <c r="AY47" s="23">
        <f t="shared" si="33"/>
        <v>37.8</v>
      </c>
      <c r="AZ47" s="23">
        <f>(AY47*1000)/((3.1415/6)*1000*('[1]PM number'!$F$12*0.000000001)^3*EXP(4.5*1.8^2))</f>
        <v>1.1174067048007744E+18</v>
      </c>
    </row>
    <row r="48" spans="1:52" ht="25.5">
      <c r="A48" s="24" t="s">
        <v>192</v>
      </c>
      <c r="B48" s="25" t="s">
        <v>149</v>
      </c>
      <c r="C48" s="24" t="s">
        <v>195</v>
      </c>
      <c r="D48" s="24" t="s">
        <v>196</v>
      </c>
      <c r="E48" s="26">
        <v>480</v>
      </c>
      <c r="F48" s="26">
        <v>2</v>
      </c>
      <c r="G48" s="27">
        <v>7</v>
      </c>
      <c r="H48" s="28">
        <v>5</v>
      </c>
      <c r="I48" s="17">
        <f t="shared" si="42"/>
        <v>3.4</v>
      </c>
      <c r="J48" s="17">
        <f t="shared" si="43"/>
        <v>1.6</v>
      </c>
      <c r="K48" s="17">
        <f t="shared" si="44"/>
        <v>85.77</v>
      </c>
      <c r="L48" s="17">
        <f t="shared" si="45"/>
        <v>114.4</v>
      </c>
      <c r="M48" s="18">
        <f t="shared" si="46"/>
        <v>0.011447899605592376</v>
      </c>
      <c r="N48" s="17">
        <f t="shared" si="38"/>
        <v>0.113</v>
      </c>
      <c r="O48" s="17">
        <f>(N48*1000)/((3.1415/6)*1000*('[1]PM number'!C12*0.000000001)^3*EXP(4.5*1.8^2))</f>
        <v>12559984304078172</v>
      </c>
      <c r="P48" s="19">
        <v>78</v>
      </c>
      <c r="Q48" s="19">
        <v>3</v>
      </c>
      <c r="R48" s="20">
        <f t="shared" si="47"/>
        <v>6</v>
      </c>
      <c r="S48" s="20">
        <f t="shared" si="48"/>
        <v>6.1</v>
      </c>
      <c r="T48" s="20">
        <f t="shared" si="49"/>
        <v>6.35</v>
      </c>
      <c r="U48" s="20">
        <f t="shared" si="50"/>
        <v>7.9</v>
      </c>
      <c r="V48" s="20">
        <f t="shared" si="39"/>
        <v>0.187</v>
      </c>
      <c r="W48" s="17">
        <f>(V48*1000)/((3.1415/6)*1000*('[1]PM number'!$E$12*0.000000001)^3*EXP(4.5*1.8^2))</f>
        <v>3624041537683430</v>
      </c>
      <c r="X48">
        <f t="shared" si="51"/>
        <v>0.03318737396220839</v>
      </c>
      <c r="Y48" s="19">
        <v>38</v>
      </c>
      <c r="Z48" s="19">
        <v>5.5</v>
      </c>
      <c r="AA48" s="20">
        <f t="shared" si="52"/>
        <v>8.1</v>
      </c>
      <c r="AB48" s="20">
        <f t="shared" si="53"/>
        <v>4.1</v>
      </c>
      <c r="AC48" s="20">
        <f t="shared" si="54"/>
        <v>13.8</v>
      </c>
      <c r="AD48" s="20">
        <f t="shared" si="55"/>
        <v>17.5</v>
      </c>
      <c r="AE48" s="20">
        <f t="shared" si="40"/>
        <v>0.147</v>
      </c>
      <c r="AF48" s="17">
        <f>(AE48*1000)/((3.1415/6)*1000*('[1]PM number'!$D$12*0.000000001)^3*EXP(4.5*1.8^2))</f>
        <v>12616778949088562</v>
      </c>
      <c r="AG48" s="17">
        <f t="shared" si="56"/>
        <v>0.02451481260641027</v>
      </c>
      <c r="AH48" s="21">
        <f t="shared" si="34"/>
        <v>35</v>
      </c>
      <c r="AI48" s="21">
        <f t="shared" si="35"/>
        <v>150.5</v>
      </c>
      <c r="AJ48" s="21">
        <f t="shared" si="20"/>
        <v>883</v>
      </c>
      <c r="AK48" s="21">
        <f t="shared" si="36"/>
        <v>1156.2</v>
      </c>
      <c r="AL48" s="21">
        <f t="shared" si="37"/>
        <v>5.4</v>
      </c>
      <c r="AM48" s="21">
        <f t="shared" si="23"/>
        <v>28800804790850164</v>
      </c>
      <c r="AN48" s="19">
        <v>1</v>
      </c>
      <c r="AO48" s="19">
        <v>65</v>
      </c>
      <c r="AP48" s="22">
        <f t="shared" si="57"/>
        <v>0.030021604384354316</v>
      </c>
      <c r="AQ48" s="22">
        <f t="shared" si="58"/>
        <v>5.5</v>
      </c>
      <c r="AR48" s="22">
        <f t="shared" si="59"/>
        <v>7.73</v>
      </c>
      <c r="AS48" s="22">
        <f t="shared" si="60"/>
        <v>9.6</v>
      </c>
      <c r="AT48" s="22">
        <f t="shared" si="41"/>
        <v>0.175</v>
      </c>
      <c r="AU48" s="23">
        <f t="shared" si="29"/>
        <v>216.2</v>
      </c>
      <c r="AV48" s="23">
        <f t="shared" si="30"/>
        <v>1.19</v>
      </c>
      <c r="AW48" s="23">
        <f t="shared" si="31"/>
        <v>1.67</v>
      </c>
      <c r="AX48" s="23">
        <f t="shared" si="32"/>
        <v>2.08</v>
      </c>
      <c r="AY48" s="23">
        <f t="shared" si="33"/>
        <v>37.8</v>
      </c>
      <c r="AZ48" s="23">
        <f>(AY48*1000)/((3.1415/6)*1000*('[1]PM number'!$F$12*0.000000001)^3*EXP(4.5*1.8^2))</f>
        <v>1.1174067048007744E+18</v>
      </c>
    </row>
    <row r="49" spans="1:52" ht="25.5">
      <c r="A49" s="24" t="s">
        <v>197</v>
      </c>
      <c r="B49" s="25" t="s">
        <v>198</v>
      </c>
      <c r="C49" s="24" t="s">
        <v>199</v>
      </c>
      <c r="D49" s="24" t="s">
        <v>200</v>
      </c>
      <c r="E49" s="26">
        <v>633</v>
      </c>
      <c r="F49" s="26">
        <v>2</v>
      </c>
      <c r="G49" s="27">
        <v>7</v>
      </c>
      <c r="H49" s="28">
        <v>5</v>
      </c>
      <c r="I49" s="17">
        <f t="shared" si="42"/>
        <v>4</v>
      </c>
      <c r="J49" s="17">
        <f t="shared" si="43"/>
        <v>1.8</v>
      </c>
      <c r="K49" s="17">
        <f t="shared" si="44"/>
        <v>63.62</v>
      </c>
      <c r="L49" s="17">
        <f t="shared" si="45"/>
        <v>84.2</v>
      </c>
      <c r="M49" s="18">
        <f t="shared" si="46"/>
        <v>0.013273268244885462</v>
      </c>
      <c r="N49" s="17">
        <f t="shared" si="38"/>
        <v>0.116</v>
      </c>
      <c r="O49" s="17">
        <f>(N49*1000)/((3.1415/6)*1000*('[1]PM number'!C12*0.000000001)^3*EXP(4.5*1.8^2))</f>
        <v>12893435214805910</v>
      </c>
      <c r="P49" s="19">
        <v>78</v>
      </c>
      <c r="Q49" s="19">
        <v>3</v>
      </c>
      <c r="R49" s="20">
        <f t="shared" si="47"/>
        <v>7.2</v>
      </c>
      <c r="S49" s="20">
        <f t="shared" si="48"/>
        <v>7.1</v>
      </c>
      <c r="T49" s="20">
        <f t="shared" si="49"/>
        <v>4.71</v>
      </c>
      <c r="U49" s="20">
        <f t="shared" si="50"/>
        <v>5.8</v>
      </c>
      <c r="V49" s="20">
        <f t="shared" si="39"/>
        <v>0.211</v>
      </c>
      <c r="W49" s="17">
        <f>(V49*1000)/((3.1415/6)*1000*('[1]PM number'!$E$12*0.000000001)^3*EXP(4.5*1.8^2))</f>
        <v>4089159168188255</v>
      </c>
      <c r="X49">
        <f t="shared" si="51"/>
        <v>0.04008796621190249</v>
      </c>
      <c r="Y49" s="19">
        <v>38</v>
      </c>
      <c r="Z49" s="19">
        <v>5.5</v>
      </c>
      <c r="AA49" s="20">
        <f t="shared" si="52"/>
        <v>9.4</v>
      </c>
      <c r="AB49" s="20">
        <f t="shared" si="53"/>
        <v>4.8</v>
      </c>
      <c r="AC49" s="20">
        <f t="shared" si="54"/>
        <v>10.23</v>
      </c>
      <c r="AD49" s="20">
        <f t="shared" si="55"/>
        <v>12.9</v>
      </c>
      <c r="AE49" s="20">
        <f t="shared" si="40"/>
        <v>0.16</v>
      </c>
      <c r="AF49" s="17">
        <f>(AE49*1000)/((3.1415/6)*1000*('[1]PM number'!$D$12*0.000000001)^3*EXP(4.5*1.8^2))</f>
        <v>13732548516014760</v>
      </c>
      <c r="AG49" s="17">
        <f t="shared" si="56"/>
        <v>0.02859581447604547</v>
      </c>
      <c r="AH49" s="21">
        <f t="shared" si="34"/>
        <v>41.2</v>
      </c>
      <c r="AI49" s="21">
        <f t="shared" si="35"/>
        <v>206.9</v>
      </c>
      <c r="AJ49" s="21">
        <f t="shared" si="20"/>
        <v>769.1</v>
      </c>
      <c r="AK49" s="21">
        <f t="shared" si="36"/>
        <v>999.6</v>
      </c>
      <c r="AL49" s="21">
        <f t="shared" si="37"/>
        <v>7</v>
      </c>
      <c r="AM49" s="21">
        <f t="shared" si="23"/>
        <v>30715142899008924</v>
      </c>
      <c r="AN49" s="19">
        <v>1</v>
      </c>
      <c r="AO49" s="19">
        <v>65</v>
      </c>
      <c r="AP49" s="22">
        <f t="shared" si="57"/>
        <v>0.036007746390946886</v>
      </c>
      <c r="AQ49" s="22">
        <f t="shared" si="58"/>
        <v>6.4</v>
      </c>
      <c r="AR49" s="22">
        <f t="shared" si="59"/>
        <v>5.73</v>
      </c>
      <c r="AS49" s="22">
        <f t="shared" si="60"/>
        <v>7.1</v>
      </c>
      <c r="AT49" s="22">
        <f t="shared" si="41"/>
        <v>0.195</v>
      </c>
      <c r="AU49" s="23">
        <f t="shared" si="29"/>
        <v>259.3</v>
      </c>
      <c r="AV49" s="23">
        <f t="shared" si="30"/>
        <v>1.66</v>
      </c>
      <c r="AW49" s="23">
        <f t="shared" si="31"/>
        <v>1.49</v>
      </c>
      <c r="AX49" s="23">
        <f t="shared" si="32"/>
        <v>1.84</v>
      </c>
      <c r="AY49" s="23">
        <f t="shared" si="33"/>
        <v>50.6</v>
      </c>
      <c r="AZ49" s="23">
        <f>(AY49*1000)/((3.1415/6)*1000*('[1]PM number'!$F$12*0.000000001)^3*EXP(4.5*1.8^2))</f>
        <v>1.4957878111883382E+18</v>
      </c>
    </row>
    <row r="50" spans="1:52" ht="25.5">
      <c r="A50" s="24" t="s">
        <v>197</v>
      </c>
      <c r="B50" s="25" t="s">
        <v>198</v>
      </c>
      <c r="C50" s="24" t="s">
        <v>199</v>
      </c>
      <c r="D50" s="24" t="s">
        <v>201</v>
      </c>
      <c r="E50" s="26">
        <v>633</v>
      </c>
      <c r="F50" s="26">
        <v>2</v>
      </c>
      <c r="G50" s="27">
        <v>7</v>
      </c>
      <c r="H50" s="28">
        <v>5</v>
      </c>
      <c r="I50" s="17">
        <f t="shared" si="42"/>
        <v>4</v>
      </c>
      <c r="J50" s="17">
        <f t="shared" si="43"/>
        <v>1.8</v>
      </c>
      <c r="K50" s="17">
        <f t="shared" si="44"/>
        <v>63.62</v>
      </c>
      <c r="L50" s="17">
        <f t="shared" si="45"/>
        <v>84.2</v>
      </c>
      <c r="M50" s="18">
        <f t="shared" si="46"/>
        <v>0.013273268244885462</v>
      </c>
      <c r="N50" s="17">
        <f t="shared" si="38"/>
        <v>0.116</v>
      </c>
      <c r="O50" s="17">
        <f>(N50*1000)/((3.1415/6)*1000*('[1]PM number'!C12*0.000000001)^3*EXP(4.5*1.8^2))</f>
        <v>12893435214805910</v>
      </c>
      <c r="P50" s="19">
        <v>78</v>
      </c>
      <c r="Q50" s="19">
        <v>3</v>
      </c>
      <c r="R50" s="20">
        <f t="shared" si="47"/>
        <v>7.2</v>
      </c>
      <c r="S50" s="20">
        <f t="shared" si="48"/>
        <v>7.1</v>
      </c>
      <c r="T50" s="20">
        <f t="shared" si="49"/>
        <v>4.71</v>
      </c>
      <c r="U50" s="20">
        <f t="shared" si="50"/>
        <v>5.8</v>
      </c>
      <c r="V50" s="20">
        <f t="shared" si="39"/>
        <v>0.211</v>
      </c>
      <c r="W50" s="17">
        <f>(V50*1000)/((3.1415/6)*1000*('[1]PM number'!$E$12*0.000000001)^3*EXP(4.5*1.8^2))</f>
        <v>4089159168188255</v>
      </c>
      <c r="X50">
        <f t="shared" si="51"/>
        <v>0.04008796621190249</v>
      </c>
      <c r="Y50" s="19">
        <v>38</v>
      </c>
      <c r="Z50" s="19">
        <v>5.5</v>
      </c>
      <c r="AA50" s="20">
        <f t="shared" si="52"/>
        <v>9.4</v>
      </c>
      <c r="AB50" s="20">
        <f t="shared" si="53"/>
        <v>4.8</v>
      </c>
      <c r="AC50" s="20">
        <f t="shared" si="54"/>
        <v>10.23</v>
      </c>
      <c r="AD50" s="20">
        <f t="shared" si="55"/>
        <v>12.9</v>
      </c>
      <c r="AE50" s="20">
        <f t="shared" si="40"/>
        <v>0.16</v>
      </c>
      <c r="AF50" s="17">
        <f>(AE50*1000)/((3.1415/6)*1000*('[1]PM number'!$D$12*0.000000001)^3*EXP(4.5*1.8^2))</f>
        <v>13732548516014760</v>
      </c>
      <c r="AG50" s="17">
        <f t="shared" si="56"/>
        <v>0.02859581447604547</v>
      </c>
      <c r="AH50" s="21">
        <f t="shared" si="34"/>
        <v>41.2</v>
      </c>
      <c r="AI50" s="21">
        <f t="shared" si="35"/>
        <v>206.9</v>
      </c>
      <c r="AJ50" s="21">
        <f t="shared" si="20"/>
        <v>769.1</v>
      </c>
      <c r="AK50" s="21">
        <f t="shared" si="36"/>
        <v>999.6</v>
      </c>
      <c r="AL50" s="21">
        <f t="shared" si="37"/>
        <v>7</v>
      </c>
      <c r="AM50" s="21">
        <f t="shared" si="23"/>
        <v>30715142899008924</v>
      </c>
      <c r="AN50" s="19">
        <v>1</v>
      </c>
      <c r="AO50" s="19">
        <v>65</v>
      </c>
      <c r="AP50" s="22">
        <f t="shared" si="57"/>
        <v>0.036007746390946886</v>
      </c>
      <c r="AQ50" s="22">
        <f t="shared" si="58"/>
        <v>6.4</v>
      </c>
      <c r="AR50" s="22">
        <f t="shared" si="59"/>
        <v>5.73</v>
      </c>
      <c r="AS50" s="22">
        <f t="shared" si="60"/>
        <v>7.1</v>
      </c>
      <c r="AT50" s="22">
        <f t="shared" si="41"/>
        <v>0.195</v>
      </c>
      <c r="AU50" s="23">
        <f t="shared" si="29"/>
        <v>259.3</v>
      </c>
      <c r="AV50" s="23">
        <f t="shared" si="30"/>
        <v>1.66</v>
      </c>
      <c r="AW50" s="23">
        <f t="shared" si="31"/>
        <v>1.49</v>
      </c>
      <c r="AX50" s="23">
        <f t="shared" si="32"/>
        <v>1.84</v>
      </c>
      <c r="AY50" s="23">
        <f t="shared" si="33"/>
        <v>50.6</v>
      </c>
      <c r="AZ50" s="23">
        <f>(AY50*1000)/((3.1415/6)*1000*('[1]PM number'!$F$12*0.000000001)^3*EXP(4.5*1.8^2))</f>
        <v>1.4957878111883382E+18</v>
      </c>
    </row>
    <row r="51" spans="1:52" ht="25.5">
      <c r="A51" s="24" t="s">
        <v>202</v>
      </c>
      <c r="B51" s="25" t="s">
        <v>146</v>
      </c>
      <c r="C51" s="24" t="s">
        <v>203</v>
      </c>
      <c r="D51" s="24" t="s">
        <v>204</v>
      </c>
      <c r="E51" s="26">
        <v>670</v>
      </c>
      <c r="F51" s="26">
        <v>2</v>
      </c>
      <c r="G51" s="27">
        <v>7</v>
      </c>
      <c r="H51" s="28">
        <v>5</v>
      </c>
      <c r="I51" s="17">
        <f t="shared" si="42"/>
        <v>4.1</v>
      </c>
      <c r="J51" s="17">
        <f t="shared" si="43"/>
        <v>1.9</v>
      </c>
      <c r="K51" s="17">
        <f t="shared" si="44"/>
        <v>59.83</v>
      </c>
      <c r="L51" s="17">
        <f t="shared" si="45"/>
        <v>79</v>
      </c>
      <c r="M51" s="18">
        <f t="shared" si="46"/>
        <v>0.013621006564779894</v>
      </c>
      <c r="N51" s="17">
        <f t="shared" si="38"/>
        <v>0.117</v>
      </c>
      <c r="O51" s="17">
        <f>(N51*1000)/((3.1415/6)*1000*('[1]PM number'!C12*0.000000001)^3*EXP(4.5*1.8^2))</f>
        <v>13004585518381824</v>
      </c>
      <c r="P51" s="19">
        <v>78</v>
      </c>
      <c r="Q51" s="19">
        <v>3</v>
      </c>
      <c r="R51" s="20">
        <f t="shared" si="47"/>
        <v>7.5</v>
      </c>
      <c r="S51" s="20">
        <f t="shared" si="48"/>
        <v>7.4</v>
      </c>
      <c r="T51" s="20">
        <f t="shared" si="49"/>
        <v>4.43</v>
      </c>
      <c r="U51" s="20">
        <f t="shared" si="50"/>
        <v>5.4</v>
      </c>
      <c r="V51" s="20">
        <f t="shared" si="39"/>
        <v>0.216</v>
      </c>
      <c r="W51" s="17">
        <f>(V51*1000)/((3.1415/6)*1000*('[1]PM number'!$E$12*0.000000001)^3*EXP(4.5*1.8^2))</f>
        <v>4186058674543427</v>
      </c>
      <c r="X51">
        <f t="shared" si="51"/>
        <v>0.04164291168631947</v>
      </c>
      <c r="Y51" s="19">
        <v>38</v>
      </c>
      <c r="Z51" s="19">
        <v>5.5</v>
      </c>
      <c r="AA51" s="20">
        <f t="shared" si="52"/>
        <v>9.6</v>
      </c>
      <c r="AB51" s="20">
        <f t="shared" si="53"/>
        <v>4.9</v>
      </c>
      <c r="AC51" s="20">
        <f t="shared" si="54"/>
        <v>9.62</v>
      </c>
      <c r="AD51" s="20">
        <f t="shared" si="55"/>
        <v>12.1</v>
      </c>
      <c r="AE51" s="20">
        <f t="shared" si="40"/>
        <v>0.163</v>
      </c>
      <c r="AF51" s="17">
        <f>(AE51*1000)/((3.1415/6)*1000*('[1]PM number'!$D$12*0.000000001)^3*EXP(4.5*1.8^2))</f>
        <v>13990033800690038</v>
      </c>
      <c r="AG51" s="17">
        <f t="shared" si="56"/>
        <v>0.029231470992987653</v>
      </c>
      <c r="AH51" s="21">
        <f t="shared" si="34"/>
        <v>42.4</v>
      </c>
      <c r="AI51" s="21">
        <f t="shared" si="35"/>
        <v>220.7</v>
      </c>
      <c r="AJ51" s="21">
        <f t="shared" si="20"/>
        <v>741.8</v>
      </c>
      <c r="AK51" s="21">
        <f t="shared" si="36"/>
        <v>961.1</v>
      </c>
      <c r="AL51" s="21">
        <f t="shared" si="37"/>
        <v>7.3</v>
      </c>
      <c r="AM51" s="21">
        <f t="shared" si="23"/>
        <v>31180677993615290</v>
      </c>
      <c r="AN51" s="19">
        <v>0.9</v>
      </c>
      <c r="AO51" s="19">
        <v>65</v>
      </c>
      <c r="AP51" s="22">
        <f t="shared" si="57"/>
        <v>0.037144585423897196</v>
      </c>
      <c r="AQ51" s="22">
        <f t="shared" si="58"/>
        <v>6.7</v>
      </c>
      <c r="AR51" s="22">
        <f t="shared" si="59"/>
        <v>5.39</v>
      </c>
      <c r="AS51" s="22">
        <f t="shared" si="60"/>
        <v>6.7</v>
      </c>
      <c r="AT51" s="22">
        <f t="shared" si="41"/>
        <v>0.2</v>
      </c>
      <c r="AU51" s="23">
        <f t="shared" si="29"/>
        <v>240.7</v>
      </c>
      <c r="AV51" s="23">
        <f t="shared" si="30"/>
        <v>1.61</v>
      </c>
      <c r="AW51" s="23">
        <f t="shared" si="31"/>
        <v>1.3</v>
      </c>
      <c r="AX51" s="23">
        <f t="shared" si="32"/>
        <v>1.61</v>
      </c>
      <c r="AY51" s="23">
        <f t="shared" si="33"/>
        <v>48.1</v>
      </c>
      <c r="AZ51" s="23">
        <f>(AY51*1000)/((3.1415/6)*1000*('[1]PM number'!$F$12*0.000000001)^3*EXP(4.5*1.8^2))</f>
        <v>1.4218852513470172E+18</v>
      </c>
    </row>
    <row r="52" spans="1:52" ht="25.5">
      <c r="A52" s="24" t="s">
        <v>205</v>
      </c>
      <c r="B52" s="25" t="s">
        <v>206</v>
      </c>
      <c r="C52" s="24" t="s">
        <v>207</v>
      </c>
      <c r="D52" s="24" t="s">
        <v>208</v>
      </c>
      <c r="E52" s="26">
        <v>563</v>
      </c>
      <c r="F52" s="26">
        <v>2</v>
      </c>
      <c r="G52" s="27">
        <v>7</v>
      </c>
      <c r="H52" s="28">
        <v>5</v>
      </c>
      <c r="I52" s="17">
        <f t="shared" si="42"/>
        <v>3.7</v>
      </c>
      <c r="J52" s="17">
        <f t="shared" si="43"/>
        <v>1.7</v>
      </c>
      <c r="K52" s="17">
        <f t="shared" si="44"/>
        <v>72.2</v>
      </c>
      <c r="L52" s="17">
        <f t="shared" si="45"/>
        <v>95.9</v>
      </c>
      <c r="M52" s="18">
        <f t="shared" si="46"/>
        <v>0.012410237020309018</v>
      </c>
      <c r="N52" s="17">
        <f t="shared" si="38"/>
        <v>0.115</v>
      </c>
      <c r="O52" s="17">
        <f>(N52*1000)/((3.1415/6)*1000*('[1]PM number'!C12*0.000000001)^3*EXP(4.5*1.8^2))</f>
        <v>12782284911229998</v>
      </c>
      <c r="P52" s="19">
        <v>78</v>
      </c>
      <c r="Q52" s="19">
        <v>3</v>
      </c>
      <c r="R52" s="20">
        <f t="shared" si="47"/>
        <v>6.6</v>
      </c>
      <c r="S52" s="20">
        <f t="shared" si="48"/>
        <v>6.7</v>
      </c>
      <c r="T52" s="20">
        <f t="shared" si="49"/>
        <v>5.34</v>
      </c>
      <c r="U52" s="20">
        <f t="shared" si="50"/>
        <v>6.6</v>
      </c>
      <c r="V52" s="20">
        <f t="shared" si="39"/>
        <v>0.2</v>
      </c>
      <c r="W52" s="17">
        <f>(V52*1000)/((3.1415/6)*1000*('[1]PM number'!$E$12*0.000000001)^3*EXP(4.5*1.8^2))</f>
        <v>3875980254206877</v>
      </c>
      <c r="X52">
        <f t="shared" si="51"/>
        <v>0.0368182481089699</v>
      </c>
      <c r="Y52" s="19">
        <v>38</v>
      </c>
      <c r="Z52" s="19">
        <v>5.5</v>
      </c>
      <c r="AA52" s="20">
        <f t="shared" si="52"/>
        <v>8.5</v>
      </c>
      <c r="AB52" s="20">
        <f t="shared" si="53"/>
        <v>4.4</v>
      </c>
      <c r="AC52" s="20">
        <f t="shared" si="54"/>
        <v>11.61</v>
      </c>
      <c r="AD52" s="20">
        <f t="shared" si="55"/>
        <v>14.7</v>
      </c>
      <c r="AE52" s="20">
        <f t="shared" si="40"/>
        <v>0.154</v>
      </c>
      <c r="AF52" s="17">
        <f>(AE52*1000)/((3.1415/6)*1000*('[1]PM number'!$D$12*0.000000001)^3*EXP(4.5*1.8^2))</f>
        <v>13217577946664208</v>
      </c>
      <c r="AG52" s="17">
        <f t="shared" si="56"/>
        <v>0.02584354651131827</v>
      </c>
      <c r="AH52" s="21">
        <f t="shared" si="34"/>
        <v>37.6</v>
      </c>
      <c r="AI52" s="21">
        <f t="shared" si="35"/>
        <v>175.8</v>
      </c>
      <c r="AJ52" s="21">
        <f t="shared" si="20"/>
        <v>802.1</v>
      </c>
      <c r="AK52" s="21">
        <f t="shared" si="36"/>
        <v>1046.7</v>
      </c>
      <c r="AL52" s="21">
        <f t="shared" si="37"/>
        <v>6.1</v>
      </c>
      <c r="AM52" s="21">
        <f t="shared" si="23"/>
        <v>29875843112101084</v>
      </c>
      <c r="AN52" s="19">
        <v>1</v>
      </c>
      <c r="AO52" s="19">
        <v>65</v>
      </c>
      <c r="AP52" s="22">
        <f t="shared" si="57"/>
        <v>0.032734686371438365</v>
      </c>
      <c r="AQ52" s="22">
        <f t="shared" si="58"/>
        <v>6</v>
      </c>
      <c r="AR52" s="22">
        <f t="shared" si="59"/>
        <v>6.5</v>
      </c>
      <c r="AS52" s="22">
        <f t="shared" si="60"/>
        <v>8.1</v>
      </c>
      <c r="AT52" s="22">
        <f t="shared" si="41"/>
        <v>0.186</v>
      </c>
      <c r="AU52" s="23">
        <f t="shared" si="29"/>
        <v>235.7</v>
      </c>
      <c r="AV52" s="23">
        <f t="shared" si="30"/>
        <v>1.41</v>
      </c>
      <c r="AW52" s="23">
        <f t="shared" si="31"/>
        <v>1.53</v>
      </c>
      <c r="AX52" s="23">
        <f t="shared" si="32"/>
        <v>1.91</v>
      </c>
      <c r="AY52" s="23">
        <f t="shared" si="33"/>
        <v>43.8</v>
      </c>
      <c r="AZ52" s="23">
        <f>(AY52*1000)/((3.1415/6)*1000*('[1]PM number'!$F$12*0.000000001)^3*EXP(4.5*1.8^2))</f>
        <v>1.294772848419945E+18</v>
      </c>
    </row>
    <row r="53" spans="1:52" ht="38.25">
      <c r="A53" s="24" t="s">
        <v>205</v>
      </c>
      <c r="B53" s="29" t="s">
        <v>149</v>
      </c>
      <c r="C53" s="30" t="s">
        <v>209</v>
      </c>
      <c r="D53" s="24" t="s">
        <v>210</v>
      </c>
      <c r="E53" s="26">
        <v>563</v>
      </c>
      <c r="F53" s="26">
        <v>2</v>
      </c>
      <c r="G53" s="27">
        <v>7</v>
      </c>
      <c r="H53" s="28">
        <v>5</v>
      </c>
      <c r="I53" s="17">
        <f t="shared" si="42"/>
        <v>3.7</v>
      </c>
      <c r="J53" s="17">
        <f t="shared" si="43"/>
        <v>1.7</v>
      </c>
      <c r="K53" s="17">
        <f t="shared" si="44"/>
        <v>72.2</v>
      </c>
      <c r="L53" s="17">
        <f t="shared" si="45"/>
        <v>95.9</v>
      </c>
      <c r="M53" s="18">
        <f t="shared" si="46"/>
        <v>0.012410237020309018</v>
      </c>
      <c r="N53" s="17">
        <f t="shared" si="38"/>
        <v>0.115</v>
      </c>
      <c r="O53" s="17">
        <f>(N53*1000)/((3.1415/6)*1000*('[1]PM number'!C12*0.000000001)^3*EXP(4.5*1.8^2))</f>
        <v>12782284911229998</v>
      </c>
      <c r="P53" s="19">
        <v>78</v>
      </c>
      <c r="Q53" s="19">
        <v>3</v>
      </c>
      <c r="R53" s="20">
        <f t="shared" si="47"/>
        <v>6.6</v>
      </c>
      <c r="S53" s="20">
        <f t="shared" si="48"/>
        <v>6.7</v>
      </c>
      <c r="T53" s="20">
        <f t="shared" si="49"/>
        <v>5.34</v>
      </c>
      <c r="U53" s="20">
        <f t="shared" si="50"/>
        <v>6.6</v>
      </c>
      <c r="V53" s="20">
        <f t="shared" si="39"/>
        <v>0.2</v>
      </c>
      <c r="W53" s="17">
        <f>(V53*1000)/((3.1415/6)*1000*('[1]PM number'!$E$12*0.000000001)^3*EXP(4.5*1.8^2))</f>
        <v>3875980254206877</v>
      </c>
      <c r="X53">
        <f t="shared" si="51"/>
        <v>0.0368182481089699</v>
      </c>
      <c r="Y53" s="19">
        <v>38</v>
      </c>
      <c r="Z53" s="19">
        <v>5.5</v>
      </c>
      <c r="AA53" s="20">
        <f t="shared" si="52"/>
        <v>8.5</v>
      </c>
      <c r="AB53" s="20">
        <f t="shared" si="53"/>
        <v>4.4</v>
      </c>
      <c r="AC53" s="20">
        <f t="shared" si="54"/>
        <v>11.61</v>
      </c>
      <c r="AD53" s="20">
        <f t="shared" si="55"/>
        <v>14.7</v>
      </c>
      <c r="AE53" s="20">
        <f t="shared" si="40"/>
        <v>0.154</v>
      </c>
      <c r="AF53" s="17">
        <f>(AE53*1000)/((3.1415/6)*1000*('[1]PM number'!$D$12*0.000000001)^3*EXP(4.5*1.8^2))</f>
        <v>13217577946664208</v>
      </c>
      <c r="AG53" s="17">
        <f t="shared" si="56"/>
        <v>0.02584354651131827</v>
      </c>
      <c r="AH53" s="21">
        <f t="shared" si="34"/>
        <v>37.6</v>
      </c>
      <c r="AI53" s="21">
        <f t="shared" si="35"/>
        <v>175.8</v>
      </c>
      <c r="AJ53" s="21">
        <f t="shared" si="20"/>
        <v>802.1</v>
      </c>
      <c r="AK53" s="21">
        <f t="shared" si="36"/>
        <v>1046.7</v>
      </c>
      <c r="AL53" s="21">
        <f t="shared" si="37"/>
        <v>6.1</v>
      </c>
      <c r="AM53" s="21">
        <f t="shared" si="23"/>
        <v>29875843112101084</v>
      </c>
      <c r="AN53" s="19">
        <v>1</v>
      </c>
      <c r="AO53" s="19">
        <v>65</v>
      </c>
      <c r="AP53" s="22">
        <f t="shared" si="57"/>
        <v>0.032734686371438365</v>
      </c>
      <c r="AQ53" s="22">
        <f t="shared" si="58"/>
        <v>6</v>
      </c>
      <c r="AR53" s="22">
        <f t="shared" si="59"/>
        <v>6.5</v>
      </c>
      <c r="AS53" s="22">
        <f t="shared" si="60"/>
        <v>8.1</v>
      </c>
      <c r="AT53" s="22">
        <f t="shared" si="41"/>
        <v>0.186</v>
      </c>
      <c r="AU53" s="23">
        <f t="shared" si="29"/>
        <v>235.7</v>
      </c>
      <c r="AV53" s="23">
        <f t="shared" si="30"/>
        <v>1.41</v>
      </c>
      <c r="AW53" s="23">
        <f t="shared" si="31"/>
        <v>1.53</v>
      </c>
      <c r="AX53" s="23">
        <f t="shared" si="32"/>
        <v>1.91</v>
      </c>
      <c r="AY53" s="23">
        <f t="shared" si="33"/>
        <v>43.8</v>
      </c>
      <c r="AZ53" s="23">
        <f>(AY53*1000)/((3.1415/6)*1000*('[1]PM number'!$F$12*0.000000001)^3*EXP(4.5*1.8^2))</f>
        <v>1.294772848419945E+18</v>
      </c>
    </row>
    <row r="54" spans="1:52" ht="25.5">
      <c r="A54" s="24" t="s">
        <v>205</v>
      </c>
      <c r="B54" s="25" t="s">
        <v>198</v>
      </c>
      <c r="C54" s="24" t="s">
        <v>199</v>
      </c>
      <c r="D54" s="24" t="s">
        <v>210</v>
      </c>
      <c r="E54" s="26">
        <v>563</v>
      </c>
      <c r="F54" s="26">
        <v>2</v>
      </c>
      <c r="G54" s="27">
        <v>7</v>
      </c>
      <c r="H54" s="28">
        <v>5</v>
      </c>
      <c r="I54" s="17">
        <f t="shared" si="42"/>
        <v>3.7</v>
      </c>
      <c r="J54" s="17">
        <f t="shared" si="43"/>
        <v>1.7</v>
      </c>
      <c r="K54" s="17">
        <f t="shared" si="44"/>
        <v>72.2</v>
      </c>
      <c r="L54" s="17">
        <f t="shared" si="45"/>
        <v>95.9</v>
      </c>
      <c r="M54" s="18">
        <f t="shared" si="46"/>
        <v>0.012410237020309018</v>
      </c>
      <c r="N54" s="17">
        <f t="shared" si="38"/>
        <v>0.115</v>
      </c>
      <c r="O54" s="17">
        <f>(N54*1000)/((3.1415/6)*1000*('[1]PM number'!C12*0.000000001)^3*EXP(4.5*1.8^2))</f>
        <v>12782284911229998</v>
      </c>
      <c r="P54" s="19">
        <v>78</v>
      </c>
      <c r="Q54" s="19">
        <v>3</v>
      </c>
      <c r="R54" s="20">
        <f t="shared" si="47"/>
        <v>6.6</v>
      </c>
      <c r="S54" s="20">
        <f t="shared" si="48"/>
        <v>6.7</v>
      </c>
      <c r="T54" s="20">
        <f t="shared" si="49"/>
        <v>5.34</v>
      </c>
      <c r="U54" s="20">
        <f t="shared" si="50"/>
        <v>6.6</v>
      </c>
      <c r="V54" s="20">
        <f t="shared" si="39"/>
        <v>0.2</v>
      </c>
      <c r="W54" s="17">
        <f>(V54*1000)/((3.1415/6)*1000*('[1]PM number'!$E$12*0.000000001)^3*EXP(4.5*1.8^2))</f>
        <v>3875980254206877</v>
      </c>
      <c r="X54">
        <f t="shared" si="51"/>
        <v>0.0368182481089699</v>
      </c>
      <c r="Y54" s="19">
        <v>38</v>
      </c>
      <c r="Z54" s="19">
        <v>5.5</v>
      </c>
      <c r="AA54" s="20">
        <f t="shared" si="52"/>
        <v>8.5</v>
      </c>
      <c r="AB54" s="20">
        <f t="shared" si="53"/>
        <v>4.4</v>
      </c>
      <c r="AC54" s="20">
        <f t="shared" si="54"/>
        <v>11.61</v>
      </c>
      <c r="AD54" s="20">
        <f t="shared" si="55"/>
        <v>14.7</v>
      </c>
      <c r="AE54" s="20">
        <f t="shared" si="40"/>
        <v>0.154</v>
      </c>
      <c r="AF54" s="17">
        <f>(AE54*1000)/((3.1415/6)*1000*('[1]PM number'!$D$12*0.000000001)^3*EXP(4.5*1.8^2))</f>
        <v>13217577946664208</v>
      </c>
      <c r="AG54" s="17">
        <f t="shared" si="56"/>
        <v>0.02584354651131827</v>
      </c>
      <c r="AH54" s="21">
        <f t="shared" si="34"/>
        <v>37.6</v>
      </c>
      <c r="AI54" s="21">
        <f t="shared" si="35"/>
        <v>175.8</v>
      </c>
      <c r="AJ54" s="21">
        <f t="shared" si="20"/>
        <v>802.1</v>
      </c>
      <c r="AK54" s="21">
        <f t="shared" si="36"/>
        <v>1046.7</v>
      </c>
      <c r="AL54" s="21">
        <f t="shared" si="37"/>
        <v>6.1</v>
      </c>
      <c r="AM54" s="21">
        <f t="shared" si="23"/>
        <v>29875843112101084</v>
      </c>
      <c r="AN54" s="19">
        <v>1</v>
      </c>
      <c r="AO54" s="19">
        <v>65</v>
      </c>
      <c r="AP54" s="22">
        <f t="shared" si="57"/>
        <v>0.032734686371438365</v>
      </c>
      <c r="AQ54" s="22">
        <f t="shared" si="58"/>
        <v>6</v>
      </c>
      <c r="AR54" s="22">
        <f t="shared" si="59"/>
        <v>6.5</v>
      </c>
      <c r="AS54" s="22">
        <f t="shared" si="60"/>
        <v>8.1</v>
      </c>
      <c r="AT54" s="22">
        <f t="shared" si="41"/>
        <v>0.186</v>
      </c>
      <c r="AU54" s="23">
        <f t="shared" si="29"/>
        <v>235.7</v>
      </c>
      <c r="AV54" s="23">
        <f t="shared" si="30"/>
        <v>1.41</v>
      </c>
      <c r="AW54" s="23">
        <f t="shared" si="31"/>
        <v>1.53</v>
      </c>
      <c r="AX54" s="23">
        <f t="shared" si="32"/>
        <v>1.91</v>
      </c>
      <c r="AY54" s="23">
        <f t="shared" si="33"/>
        <v>43.8</v>
      </c>
      <c r="AZ54" s="23">
        <f>(AY54*1000)/((3.1415/6)*1000*('[1]PM number'!$F$12*0.000000001)^3*EXP(4.5*1.8^2))</f>
        <v>1.294772848419945E+18</v>
      </c>
    </row>
    <row r="55" spans="1:52" ht="25.5">
      <c r="A55" s="24" t="s">
        <v>205</v>
      </c>
      <c r="B55" s="25" t="s">
        <v>179</v>
      </c>
      <c r="C55" s="24" t="s">
        <v>211</v>
      </c>
      <c r="D55" s="24" t="s">
        <v>210</v>
      </c>
      <c r="E55" s="26">
        <v>563</v>
      </c>
      <c r="F55" s="26">
        <v>2</v>
      </c>
      <c r="G55" s="27">
        <v>7</v>
      </c>
      <c r="H55" s="28">
        <v>5</v>
      </c>
      <c r="I55" s="17">
        <f t="shared" si="42"/>
        <v>3.7</v>
      </c>
      <c r="J55" s="17">
        <f t="shared" si="43"/>
        <v>1.7</v>
      </c>
      <c r="K55" s="17">
        <f t="shared" si="44"/>
        <v>72.2</v>
      </c>
      <c r="L55" s="17">
        <f t="shared" si="45"/>
        <v>95.9</v>
      </c>
      <c r="M55" s="18">
        <f t="shared" si="46"/>
        <v>0.012410237020309018</v>
      </c>
      <c r="N55" s="17">
        <f t="shared" si="38"/>
        <v>0.115</v>
      </c>
      <c r="O55" s="17">
        <f>(N55*1000)/((3.1415/6)*1000*('[1]PM number'!C12*0.000000001)^3*EXP(4.5*1.8^2))</f>
        <v>12782284911229998</v>
      </c>
      <c r="P55" s="19">
        <v>78</v>
      </c>
      <c r="Q55" s="19">
        <v>3</v>
      </c>
      <c r="R55" s="20">
        <f t="shared" si="47"/>
        <v>6.6</v>
      </c>
      <c r="S55" s="20">
        <f t="shared" si="48"/>
        <v>6.7</v>
      </c>
      <c r="T55" s="20">
        <f t="shared" si="49"/>
        <v>5.34</v>
      </c>
      <c r="U55" s="20">
        <f t="shared" si="50"/>
        <v>6.6</v>
      </c>
      <c r="V55" s="20">
        <f t="shared" si="39"/>
        <v>0.2</v>
      </c>
      <c r="W55" s="17">
        <f>(V55*1000)/((3.1415/6)*1000*('[1]PM number'!$E$12*0.000000001)^3*EXP(4.5*1.8^2))</f>
        <v>3875980254206877</v>
      </c>
      <c r="X55">
        <f t="shared" si="51"/>
        <v>0.0368182481089699</v>
      </c>
      <c r="Y55" s="19">
        <v>38</v>
      </c>
      <c r="Z55" s="19">
        <v>5.5</v>
      </c>
      <c r="AA55" s="20">
        <f t="shared" si="52"/>
        <v>8.5</v>
      </c>
      <c r="AB55" s="20">
        <f t="shared" si="53"/>
        <v>4.4</v>
      </c>
      <c r="AC55" s="20">
        <f t="shared" si="54"/>
        <v>11.61</v>
      </c>
      <c r="AD55" s="20">
        <f t="shared" si="55"/>
        <v>14.7</v>
      </c>
      <c r="AE55" s="20">
        <f t="shared" si="40"/>
        <v>0.154</v>
      </c>
      <c r="AF55" s="17">
        <f>(AE55*1000)/((3.1415/6)*1000*('[1]PM number'!$D$12*0.000000001)^3*EXP(4.5*1.8^2))</f>
        <v>13217577946664208</v>
      </c>
      <c r="AG55" s="17">
        <f t="shared" si="56"/>
        <v>0.02584354651131827</v>
      </c>
      <c r="AH55" s="21">
        <f t="shared" si="34"/>
        <v>37.6</v>
      </c>
      <c r="AI55" s="21">
        <f t="shared" si="35"/>
        <v>175.8</v>
      </c>
      <c r="AJ55" s="21">
        <f t="shared" si="20"/>
        <v>802.1</v>
      </c>
      <c r="AK55" s="21">
        <f t="shared" si="36"/>
        <v>1046.7</v>
      </c>
      <c r="AL55" s="21">
        <f t="shared" si="37"/>
        <v>6.1</v>
      </c>
      <c r="AM55" s="21">
        <f t="shared" si="23"/>
        <v>29875843112101084</v>
      </c>
      <c r="AN55" s="19">
        <v>1</v>
      </c>
      <c r="AO55" s="19">
        <v>65</v>
      </c>
      <c r="AP55" s="22">
        <f t="shared" si="57"/>
        <v>0.032734686371438365</v>
      </c>
      <c r="AQ55" s="22">
        <f t="shared" si="58"/>
        <v>6</v>
      </c>
      <c r="AR55" s="22">
        <f t="shared" si="59"/>
        <v>6.5</v>
      </c>
      <c r="AS55" s="22">
        <f t="shared" si="60"/>
        <v>8.1</v>
      </c>
      <c r="AT55" s="22">
        <f t="shared" si="41"/>
        <v>0.186</v>
      </c>
      <c r="AU55" s="23">
        <f t="shared" si="29"/>
        <v>235.7</v>
      </c>
      <c r="AV55" s="23">
        <f t="shared" si="30"/>
        <v>1.41</v>
      </c>
      <c r="AW55" s="23">
        <f t="shared" si="31"/>
        <v>1.53</v>
      </c>
      <c r="AX55" s="23">
        <f t="shared" si="32"/>
        <v>1.91</v>
      </c>
      <c r="AY55" s="23">
        <f t="shared" si="33"/>
        <v>43.8</v>
      </c>
      <c r="AZ55" s="23">
        <f>(AY55*1000)/((3.1415/6)*1000*('[1]PM number'!$F$12*0.000000001)^3*EXP(4.5*1.8^2))</f>
        <v>1.294772848419945E+18</v>
      </c>
    </row>
    <row r="56" spans="1:52" ht="25.5">
      <c r="A56" s="30" t="s">
        <v>205</v>
      </c>
      <c r="B56" s="25" t="s">
        <v>186</v>
      </c>
      <c r="C56" s="24" t="s">
        <v>212</v>
      </c>
      <c r="D56" s="24" t="s">
        <v>210</v>
      </c>
      <c r="E56" s="26">
        <v>563</v>
      </c>
      <c r="F56" s="26">
        <v>2</v>
      </c>
      <c r="G56" s="27">
        <v>7</v>
      </c>
      <c r="H56" s="28">
        <v>5</v>
      </c>
      <c r="I56" s="17">
        <f t="shared" si="42"/>
        <v>3.7</v>
      </c>
      <c r="J56" s="17">
        <f t="shared" si="43"/>
        <v>1.7</v>
      </c>
      <c r="K56" s="17">
        <f t="shared" si="44"/>
        <v>72.2</v>
      </c>
      <c r="L56" s="17">
        <f t="shared" si="45"/>
        <v>95.9</v>
      </c>
      <c r="M56" s="18">
        <f t="shared" si="46"/>
        <v>0.012410237020309018</v>
      </c>
      <c r="N56" s="17">
        <f t="shared" si="38"/>
        <v>0.115</v>
      </c>
      <c r="O56" s="17">
        <f>(N56*1000)/((3.1415/6)*1000*('[1]PM number'!C12*0.000000001)^3*EXP(4.5*1.8^2))</f>
        <v>12782284911229998</v>
      </c>
      <c r="P56" s="19">
        <v>78</v>
      </c>
      <c r="Q56" s="19">
        <v>3</v>
      </c>
      <c r="R56" s="20">
        <f t="shared" si="47"/>
        <v>6.6</v>
      </c>
      <c r="S56" s="20">
        <f t="shared" si="48"/>
        <v>6.7</v>
      </c>
      <c r="T56" s="20">
        <f t="shared" si="49"/>
        <v>5.34</v>
      </c>
      <c r="U56" s="20">
        <f t="shared" si="50"/>
        <v>6.6</v>
      </c>
      <c r="V56" s="20">
        <f t="shared" si="39"/>
        <v>0.2</v>
      </c>
      <c r="W56" s="17">
        <f>(V56*1000)/((3.1415/6)*1000*('[1]PM number'!$E$12*0.000000001)^3*EXP(4.5*1.8^2))</f>
        <v>3875980254206877</v>
      </c>
      <c r="X56">
        <f t="shared" si="51"/>
        <v>0.0368182481089699</v>
      </c>
      <c r="Y56" s="19">
        <v>38</v>
      </c>
      <c r="Z56" s="19">
        <v>5.5</v>
      </c>
      <c r="AA56" s="20">
        <f t="shared" si="52"/>
        <v>8.5</v>
      </c>
      <c r="AB56" s="20">
        <f t="shared" si="53"/>
        <v>4.4</v>
      </c>
      <c r="AC56" s="20">
        <f t="shared" si="54"/>
        <v>11.61</v>
      </c>
      <c r="AD56" s="20">
        <f t="shared" si="55"/>
        <v>14.7</v>
      </c>
      <c r="AE56" s="20">
        <f t="shared" si="40"/>
        <v>0.154</v>
      </c>
      <c r="AF56" s="17">
        <f>(AE56*1000)/((3.1415/6)*1000*('[1]PM number'!$D$12*0.000000001)^3*EXP(4.5*1.8^2))</f>
        <v>13217577946664208</v>
      </c>
      <c r="AG56" s="17">
        <f t="shared" si="56"/>
        <v>0.02584354651131827</v>
      </c>
      <c r="AH56" s="21">
        <f t="shared" si="34"/>
        <v>37.6</v>
      </c>
      <c r="AI56" s="21">
        <f t="shared" si="35"/>
        <v>175.8</v>
      </c>
      <c r="AJ56" s="21">
        <f t="shared" si="20"/>
        <v>802.1</v>
      </c>
      <c r="AK56" s="21">
        <f t="shared" si="36"/>
        <v>1046.7</v>
      </c>
      <c r="AL56" s="21">
        <f t="shared" si="37"/>
        <v>6.1</v>
      </c>
      <c r="AM56" s="21">
        <f t="shared" si="23"/>
        <v>29875843112101084</v>
      </c>
      <c r="AN56" s="19">
        <v>1</v>
      </c>
      <c r="AO56" s="19">
        <v>65</v>
      </c>
      <c r="AP56" s="22">
        <f t="shared" si="57"/>
        <v>0.032734686371438365</v>
      </c>
      <c r="AQ56" s="22">
        <f t="shared" si="58"/>
        <v>6</v>
      </c>
      <c r="AR56" s="22">
        <f t="shared" si="59"/>
        <v>6.5</v>
      </c>
      <c r="AS56" s="22">
        <f t="shared" si="60"/>
        <v>8.1</v>
      </c>
      <c r="AT56" s="22">
        <f t="shared" si="41"/>
        <v>0.186</v>
      </c>
      <c r="AU56" s="23">
        <f t="shared" si="29"/>
        <v>235.7</v>
      </c>
      <c r="AV56" s="23">
        <f t="shared" si="30"/>
        <v>1.41</v>
      </c>
      <c r="AW56" s="23">
        <f t="shared" si="31"/>
        <v>1.53</v>
      </c>
      <c r="AX56" s="23">
        <f t="shared" si="32"/>
        <v>1.91</v>
      </c>
      <c r="AY56" s="23">
        <f t="shared" si="33"/>
        <v>43.8</v>
      </c>
      <c r="AZ56" s="23">
        <f>(AY56*1000)/((3.1415/6)*1000*('[1]PM number'!$F$12*0.000000001)^3*EXP(4.5*1.8^2))</f>
        <v>1.294772848419945E+18</v>
      </c>
    </row>
    <row r="57" spans="1:52" ht="25.5">
      <c r="A57" s="30" t="s">
        <v>145</v>
      </c>
      <c r="B57" s="29" t="s">
        <v>149</v>
      </c>
      <c r="C57" s="30" t="s">
        <v>213</v>
      </c>
      <c r="D57" s="24" t="s">
        <v>214</v>
      </c>
      <c r="E57" s="26">
        <v>420</v>
      </c>
      <c r="F57" s="26">
        <v>2</v>
      </c>
      <c r="G57" s="27">
        <v>7</v>
      </c>
      <c r="H57" s="28">
        <v>5</v>
      </c>
      <c r="I57" s="17">
        <f t="shared" si="42"/>
        <v>3.2</v>
      </c>
      <c r="J57" s="17">
        <f t="shared" si="43"/>
        <v>1.4</v>
      </c>
      <c r="K57" s="17">
        <f t="shared" si="44"/>
        <v>99.08</v>
      </c>
      <c r="L57" s="17">
        <f t="shared" si="45"/>
        <v>132.7</v>
      </c>
      <c r="M57" s="18">
        <f t="shared" si="46"/>
        <v>0.010714657820701887</v>
      </c>
      <c r="N57" s="17">
        <f t="shared" si="38"/>
        <v>0.113</v>
      </c>
      <c r="O57" s="17">
        <f>(N57*1000)/((3.1415/6)*1000*('[1]PM number'!C12*0.000000001)^3*EXP(4.5*1.8^2))</f>
        <v>12559984304078172</v>
      </c>
      <c r="P57" s="19">
        <v>78</v>
      </c>
      <c r="Q57" s="19">
        <v>3</v>
      </c>
      <c r="R57" s="20">
        <f t="shared" si="47"/>
        <v>5.5</v>
      </c>
      <c r="S57" s="20">
        <f t="shared" si="48"/>
        <v>5.7</v>
      </c>
      <c r="T57" s="20">
        <f t="shared" si="49"/>
        <v>7.33</v>
      </c>
      <c r="U57" s="20">
        <f t="shared" si="50"/>
        <v>9.1</v>
      </c>
      <c r="V57" s="20">
        <f t="shared" si="39"/>
        <v>0.178</v>
      </c>
      <c r="W57" s="17">
        <f>(V57*1000)/((3.1415/6)*1000*('[1]PM number'!$E$12*0.000000001)^3*EXP(4.5*1.8^2))</f>
        <v>3449622426244120.5</v>
      </c>
      <c r="X57">
        <f t="shared" si="51"/>
        <v>0.03077199354162227</v>
      </c>
      <c r="Y57" s="19">
        <v>38</v>
      </c>
      <c r="Z57" s="19">
        <v>5.5</v>
      </c>
      <c r="AA57" s="20">
        <f t="shared" si="52"/>
        <v>7.7</v>
      </c>
      <c r="AB57" s="20">
        <f t="shared" si="53"/>
        <v>3.8</v>
      </c>
      <c r="AC57" s="20">
        <f t="shared" si="54"/>
        <v>15.94</v>
      </c>
      <c r="AD57" s="20">
        <f t="shared" si="55"/>
        <v>20.3</v>
      </c>
      <c r="AE57" s="20">
        <f t="shared" si="40"/>
        <v>0.142</v>
      </c>
      <c r="AF57" s="17">
        <f>(AE57*1000)/((3.1415/6)*1000*('[1]PM number'!$D$12*0.000000001)^3*EXP(4.5*1.8^2))</f>
        <v>12187636807963100</v>
      </c>
      <c r="AG57" s="17">
        <f t="shared" si="56"/>
        <v>0.0234431418136523</v>
      </c>
      <c r="AH57" s="21">
        <f t="shared" si="34"/>
        <v>32.8</v>
      </c>
      <c r="AI57" s="21">
        <f t="shared" si="35"/>
        <v>130.2</v>
      </c>
      <c r="AJ57" s="21">
        <f t="shared" si="20"/>
        <v>960.2</v>
      </c>
      <c r="AK57" s="21">
        <f t="shared" si="36"/>
        <v>1262</v>
      </c>
      <c r="AL57" s="21">
        <f t="shared" si="37"/>
        <v>4.9</v>
      </c>
      <c r="AM57" s="21">
        <f t="shared" si="23"/>
        <v>28197243538285390</v>
      </c>
      <c r="AN57" s="19">
        <v>1</v>
      </c>
      <c r="AO57" s="19">
        <v>65</v>
      </c>
      <c r="AP57" s="22">
        <f t="shared" si="57"/>
        <v>0.028269377008378737</v>
      </c>
      <c r="AQ57" s="22">
        <f t="shared" si="58"/>
        <v>5.1</v>
      </c>
      <c r="AR57" s="22">
        <f t="shared" si="59"/>
        <v>8.93</v>
      </c>
      <c r="AS57" s="22">
        <f t="shared" si="60"/>
        <v>11.2</v>
      </c>
      <c r="AT57" s="22">
        <f t="shared" si="41"/>
        <v>0.167</v>
      </c>
      <c r="AU57" s="23">
        <f t="shared" si="29"/>
        <v>203.5</v>
      </c>
      <c r="AV57" s="23">
        <f t="shared" si="30"/>
        <v>1.04</v>
      </c>
      <c r="AW57" s="23">
        <f t="shared" si="31"/>
        <v>1.82</v>
      </c>
      <c r="AX57" s="23">
        <f t="shared" si="32"/>
        <v>2.28</v>
      </c>
      <c r="AY57" s="23">
        <f t="shared" si="33"/>
        <v>34</v>
      </c>
      <c r="AZ57" s="23">
        <f>(AY57*1000)/((3.1415/6)*1000*('[1]PM number'!$F$12*0.000000001)^3*EXP(4.5*1.8^2))</f>
        <v>1.0050748138419663E+18</v>
      </c>
    </row>
    <row r="58" spans="1:52" ht="25.5">
      <c r="A58" s="24" t="s">
        <v>145</v>
      </c>
      <c r="B58" s="25" t="s">
        <v>215</v>
      </c>
      <c r="C58" s="24" t="s">
        <v>216</v>
      </c>
      <c r="D58" s="24" t="s">
        <v>217</v>
      </c>
      <c r="E58" s="26">
        <v>400</v>
      </c>
      <c r="F58" s="26">
        <v>2</v>
      </c>
      <c r="G58" s="27">
        <v>7</v>
      </c>
      <c r="H58" s="28">
        <v>5</v>
      </c>
      <c r="I58" s="17">
        <f t="shared" si="42"/>
        <v>3.1</v>
      </c>
      <c r="J58" s="17">
        <f t="shared" si="43"/>
        <v>1.4</v>
      </c>
      <c r="K58" s="17">
        <f t="shared" si="44"/>
        <v>104.44</v>
      </c>
      <c r="L58" s="17">
        <f t="shared" si="45"/>
        <v>140.1</v>
      </c>
      <c r="M58" s="18">
        <f t="shared" si="46"/>
        <v>0.010462980420048897</v>
      </c>
      <c r="N58" s="17">
        <f t="shared" si="38"/>
        <v>0.112</v>
      </c>
      <c r="O58" s="17">
        <f>(N58*1000)/((3.1415/6)*1000*('[1]PM number'!C12*0.000000001)^3*EXP(4.5*1.8^2))</f>
        <v>12448834000502258</v>
      </c>
      <c r="P58" s="19">
        <v>78</v>
      </c>
      <c r="Q58" s="19">
        <v>3</v>
      </c>
      <c r="R58" s="20">
        <f t="shared" si="47"/>
        <v>5.4</v>
      </c>
      <c r="S58" s="20">
        <f t="shared" si="48"/>
        <v>5.5</v>
      </c>
      <c r="T58" s="20">
        <f t="shared" si="49"/>
        <v>7.73</v>
      </c>
      <c r="U58" s="20">
        <f t="shared" si="50"/>
        <v>9.6</v>
      </c>
      <c r="V58" s="20">
        <f t="shared" si="39"/>
        <v>0.175</v>
      </c>
      <c r="W58" s="17">
        <f>(V58*1000)/((3.1415/6)*1000*('[1]PM number'!$E$12*0.000000001)^3*EXP(4.5*1.8^2))</f>
        <v>3391482722431017.5</v>
      </c>
      <c r="X58">
        <f t="shared" si="51"/>
        <v>0.030021604384354316</v>
      </c>
      <c r="Y58" s="19">
        <v>38</v>
      </c>
      <c r="Z58" s="19">
        <v>5.5</v>
      </c>
      <c r="AA58" s="20">
        <f t="shared" si="52"/>
        <v>7.6</v>
      </c>
      <c r="AB58" s="20">
        <f t="shared" si="53"/>
        <v>3.7</v>
      </c>
      <c r="AC58" s="20">
        <f t="shared" si="54"/>
        <v>16.8</v>
      </c>
      <c r="AD58" s="20">
        <f t="shared" si="55"/>
        <v>21.4</v>
      </c>
      <c r="AE58" s="20">
        <f t="shared" si="40"/>
        <v>0.14</v>
      </c>
      <c r="AF58" s="17">
        <f>(AE58*1000)/((3.1415/6)*1000*('[1]PM number'!$D$12*0.000000001)^3*EXP(4.5*1.8^2))</f>
        <v>12015979951512916</v>
      </c>
      <c r="AG58" s="17">
        <f t="shared" si="56"/>
        <v>0.023051377640648713</v>
      </c>
      <c r="AH58" s="21">
        <f t="shared" si="34"/>
        <v>32.2</v>
      </c>
      <c r="AI58" s="21">
        <f t="shared" si="35"/>
        <v>124.3</v>
      </c>
      <c r="AJ58" s="21">
        <f t="shared" si="20"/>
        <v>986.4</v>
      </c>
      <c r="AK58" s="21">
        <f t="shared" si="36"/>
        <v>1297.6</v>
      </c>
      <c r="AL58" s="21">
        <f t="shared" si="37"/>
        <v>4.7</v>
      </c>
      <c r="AM58" s="21">
        <f t="shared" si="23"/>
        <v>27856296674446190</v>
      </c>
      <c r="AN58" s="19">
        <v>1</v>
      </c>
      <c r="AO58" s="19">
        <v>65</v>
      </c>
      <c r="AP58" s="22">
        <f t="shared" si="57"/>
        <v>0.027719968691200008</v>
      </c>
      <c r="AQ58" s="22">
        <f t="shared" si="58"/>
        <v>5</v>
      </c>
      <c r="AR58" s="22">
        <f t="shared" si="59"/>
        <v>9.41</v>
      </c>
      <c r="AS58" s="22">
        <f t="shared" si="60"/>
        <v>11.8</v>
      </c>
      <c r="AT58" s="22">
        <f t="shared" si="41"/>
        <v>0.164</v>
      </c>
      <c r="AU58" s="23">
        <f t="shared" si="29"/>
        <v>199.6</v>
      </c>
      <c r="AV58" s="23">
        <f t="shared" si="30"/>
        <v>1</v>
      </c>
      <c r="AW58" s="23">
        <f t="shared" si="31"/>
        <v>1.88</v>
      </c>
      <c r="AX58" s="23">
        <f t="shared" si="32"/>
        <v>2.36</v>
      </c>
      <c r="AY58" s="23">
        <f t="shared" si="33"/>
        <v>32.7</v>
      </c>
      <c r="AZ58" s="23">
        <f>(AY58*1000)/((3.1415/6)*1000*('[1]PM number'!$F$12*0.000000001)^3*EXP(4.5*1.8^2))</f>
        <v>9.666454827244795E+17</v>
      </c>
    </row>
    <row r="59" spans="1:52" ht="25.5">
      <c r="A59" s="24" t="s">
        <v>145</v>
      </c>
      <c r="B59" s="25" t="s">
        <v>146</v>
      </c>
      <c r="C59" s="24" t="s">
        <v>218</v>
      </c>
      <c r="D59" s="24" t="s">
        <v>219</v>
      </c>
      <c r="E59" s="26">
        <v>420</v>
      </c>
      <c r="F59" s="26">
        <v>2</v>
      </c>
      <c r="G59" s="27">
        <v>7</v>
      </c>
      <c r="H59" s="28">
        <v>5</v>
      </c>
      <c r="I59" s="17">
        <f t="shared" si="42"/>
        <v>3.2</v>
      </c>
      <c r="J59" s="17">
        <f t="shared" si="43"/>
        <v>1.4</v>
      </c>
      <c r="K59" s="17">
        <f t="shared" si="44"/>
        <v>99.08</v>
      </c>
      <c r="L59" s="17">
        <f t="shared" si="45"/>
        <v>132.7</v>
      </c>
      <c r="M59" s="18">
        <f t="shared" si="46"/>
        <v>0.010714657820701887</v>
      </c>
      <c r="N59" s="17">
        <f t="shared" si="38"/>
        <v>0.113</v>
      </c>
      <c r="O59" s="17">
        <f>(N59*1000)/((3.1415/6)*1000*('[1]PM number'!C12*0.000000001)^3*EXP(4.5*1.8^2))</f>
        <v>12559984304078172</v>
      </c>
      <c r="P59" s="19">
        <v>78</v>
      </c>
      <c r="Q59" s="19">
        <v>3</v>
      </c>
      <c r="R59" s="20">
        <f t="shared" si="47"/>
        <v>5.5</v>
      </c>
      <c r="S59" s="20">
        <f t="shared" si="48"/>
        <v>5.7</v>
      </c>
      <c r="T59" s="20">
        <f t="shared" si="49"/>
        <v>7.33</v>
      </c>
      <c r="U59" s="20">
        <f t="shared" si="50"/>
        <v>9.1</v>
      </c>
      <c r="V59" s="20">
        <f t="shared" si="39"/>
        <v>0.178</v>
      </c>
      <c r="W59" s="17">
        <f>(V59*1000)/((3.1415/6)*1000*('[1]PM number'!$E$12*0.000000001)^3*EXP(4.5*1.8^2))</f>
        <v>3449622426244120.5</v>
      </c>
      <c r="X59">
        <f t="shared" si="51"/>
        <v>0.03077199354162227</v>
      </c>
      <c r="Y59" s="19">
        <v>38</v>
      </c>
      <c r="Z59" s="19">
        <v>5.5</v>
      </c>
      <c r="AA59" s="20">
        <f t="shared" si="52"/>
        <v>7.7</v>
      </c>
      <c r="AB59" s="20">
        <f t="shared" si="53"/>
        <v>3.8</v>
      </c>
      <c r="AC59" s="20">
        <f t="shared" si="54"/>
        <v>15.94</v>
      </c>
      <c r="AD59" s="20">
        <f t="shared" si="55"/>
        <v>20.3</v>
      </c>
      <c r="AE59" s="20">
        <f t="shared" si="40"/>
        <v>0.142</v>
      </c>
      <c r="AF59" s="17">
        <f>(AE59*1000)/((3.1415/6)*1000*('[1]PM number'!$D$12*0.000000001)^3*EXP(4.5*1.8^2))</f>
        <v>12187636807963100</v>
      </c>
      <c r="AG59" s="17">
        <f t="shared" si="56"/>
        <v>0.0234431418136523</v>
      </c>
      <c r="AH59" s="21">
        <f t="shared" si="34"/>
        <v>32.8</v>
      </c>
      <c r="AI59" s="21">
        <f t="shared" si="35"/>
        <v>130.2</v>
      </c>
      <c r="AJ59" s="21">
        <f t="shared" si="20"/>
        <v>960.2</v>
      </c>
      <c r="AK59" s="21">
        <f t="shared" si="36"/>
        <v>1262</v>
      </c>
      <c r="AL59" s="21">
        <f t="shared" si="37"/>
        <v>4.9</v>
      </c>
      <c r="AM59" s="21">
        <f t="shared" si="23"/>
        <v>28197243538285390</v>
      </c>
      <c r="AN59" s="19">
        <v>1</v>
      </c>
      <c r="AO59" s="19">
        <v>65</v>
      </c>
      <c r="AP59" s="22">
        <f t="shared" si="57"/>
        <v>0.028269377008378737</v>
      </c>
      <c r="AQ59" s="22">
        <f t="shared" si="58"/>
        <v>5.1</v>
      </c>
      <c r="AR59" s="22">
        <f t="shared" si="59"/>
        <v>8.93</v>
      </c>
      <c r="AS59" s="22">
        <f t="shared" si="60"/>
        <v>11.2</v>
      </c>
      <c r="AT59" s="22">
        <f t="shared" si="41"/>
        <v>0.167</v>
      </c>
      <c r="AU59" s="23">
        <f t="shared" si="29"/>
        <v>203.5</v>
      </c>
      <c r="AV59" s="23">
        <f t="shared" si="30"/>
        <v>1.04</v>
      </c>
      <c r="AW59" s="23">
        <f t="shared" si="31"/>
        <v>1.82</v>
      </c>
      <c r="AX59" s="23">
        <f t="shared" si="32"/>
        <v>2.28</v>
      </c>
      <c r="AY59" s="23">
        <f t="shared" si="33"/>
        <v>34</v>
      </c>
      <c r="AZ59" s="23">
        <f>(AY59*1000)/((3.1415/6)*1000*('[1]PM number'!$F$12*0.000000001)^3*EXP(4.5*1.8^2))</f>
        <v>1.0050748138419663E+18</v>
      </c>
    </row>
    <row r="60" spans="1:52" ht="25.5">
      <c r="A60" s="40" t="s">
        <v>145</v>
      </c>
      <c r="B60" s="41" t="s">
        <v>215</v>
      </c>
      <c r="C60" s="42" t="s">
        <v>216</v>
      </c>
      <c r="D60" s="42" t="s">
        <v>219</v>
      </c>
      <c r="E60" s="43">
        <v>420</v>
      </c>
      <c r="F60" s="44">
        <v>2</v>
      </c>
      <c r="G60" s="45">
        <v>7</v>
      </c>
      <c r="H60" s="28">
        <v>5</v>
      </c>
      <c r="I60" s="17">
        <f t="shared" si="42"/>
        <v>3.2</v>
      </c>
      <c r="J60" s="17">
        <f t="shared" si="43"/>
        <v>1.4</v>
      </c>
      <c r="K60" s="17">
        <f t="shared" si="44"/>
        <v>99.08</v>
      </c>
      <c r="L60" s="17">
        <f t="shared" si="45"/>
        <v>132.7</v>
      </c>
      <c r="M60" s="18">
        <f t="shared" si="46"/>
        <v>0.010714657820701887</v>
      </c>
      <c r="N60" s="17">
        <f t="shared" si="38"/>
        <v>0.113</v>
      </c>
      <c r="O60" s="17">
        <f>(N60*1000)/((3.1415/6)*1000*('[1]PM number'!C12*0.000000001)^3*EXP(4.5*1.8^2))</f>
        <v>12559984304078172</v>
      </c>
      <c r="P60" s="19">
        <v>78</v>
      </c>
      <c r="Q60" s="19">
        <v>3</v>
      </c>
      <c r="R60" s="20">
        <f t="shared" si="47"/>
        <v>5.5</v>
      </c>
      <c r="S60" s="20">
        <f t="shared" si="48"/>
        <v>5.7</v>
      </c>
      <c r="T60" s="20">
        <f t="shared" si="49"/>
        <v>7.33</v>
      </c>
      <c r="U60" s="20">
        <f t="shared" si="50"/>
        <v>9.1</v>
      </c>
      <c r="V60" s="20">
        <f t="shared" si="39"/>
        <v>0.178</v>
      </c>
      <c r="W60" s="17">
        <f>(V60*1000)/((3.1415/6)*1000*('[1]PM number'!$E$12*0.000000001)^3*EXP(4.5*1.8^2))</f>
        <v>3449622426244120.5</v>
      </c>
      <c r="X60">
        <f t="shared" si="51"/>
        <v>0.03077199354162227</v>
      </c>
      <c r="Y60" s="19">
        <v>38</v>
      </c>
      <c r="Z60" s="19">
        <v>5.5</v>
      </c>
      <c r="AA60" s="20">
        <f t="shared" si="52"/>
        <v>7.7</v>
      </c>
      <c r="AB60" s="20">
        <f t="shared" si="53"/>
        <v>3.8</v>
      </c>
      <c r="AC60" s="20">
        <f t="shared" si="54"/>
        <v>15.94</v>
      </c>
      <c r="AD60" s="20">
        <f t="shared" si="55"/>
        <v>20.3</v>
      </c>
      <c r="AE60" s="20">
        <f t="shared" si="40"/>
        <v>0.142</v>
      </c>
      <c r="AF60" s="17">
        <f>(AE60*1000)/((3.1415/6)*1000*('[1]PM number'!$D$12*0.000000001)^3*EXP(4.5*1.8^2))</f>
        <v>12187636807963100</v>
      </c>
      <c r="AG60" s="17">
        <f t="shared" si="56"/>
        <v>0.0234431418136523</v>
      </c>
      <c r="AH60" s="21">
        <f t="shared" si="34"/>
        <v>32.8</v>
      </c>
      <c r="AI60" s="21">
        <f t="shared" si="35"/>
        <v>130.2</v>
      </c>
      <c r="AJ60" s="21">
        <f t="shared" si="20"/>
        <v>960.2</v>
      </c>
      <c r="AK60" s="21">
        <f t="shared" si="36"/>
        <v>1262</v>
      </c>
      <c r="AL60" s="21">
        <f t="shared" si="37"/>
        <v>4.9</v>
      </c>
      <c r="AM60" s="21">
        <f t="shared" si="23"/>
        <v>28197243538285390</v>
      </c>
      <c r="AN60" s="19">
        <v>1</v>
      </c>
      <c r="AO60" s="19">
        <v>65</v>
      </c>
      <c r="AP60" s="22">
        <f t="shared" si="57"/>
        <v>0.028269377008378737</v>
      </c>
      <c r="AQ60" s="22">
        <f t="shared" si="58"/>
        <v>5.1</v>
      </c>
      <c r="AR60" s="22">
        <f t="shared" si="59"/>
        <v>8.93</v>
      </c>
      <c r="AS60" s="22">
        <f t="shared" si="60"/>
        <v>11.2</v>
      </c>
      <c r="AT60" s="22">
        <f t="shared" si="41"/>
        <v>0.167</v>
      </c>
      <c r="AU60" s="23">
        <f t="shared" si="29"/>
        <v>203.5</v>
      </c>
      <c r="AV60" s="23">
        <f t="shared" si="30"/>
        <v>1.04</v>
      </c>
      <c r="AW60" s="23">
        <f t="shared" si="31"/>
        <v>1.82</v>
      </c>
      <c r="AX60" s="23">
        <f t="shared" si="32"/>
        <v>2.28</v>
      </c>
      <c r="AY60" s="23">
        <f t="shared" si="33"/>
        <v>34</v>
      </c>
      <c r="AZ60" s="23">
        <f>(AY60*1000)/((3.1415/6)*1000*('[1]PM number'!$F$12*0.000000001)^3*EXP(4.5*1.8^2))</f>
        <v>1.0050748138419663E+18</v>
      </c>
    </row>
    <row r="61" spans="1:52" ht="25.5">
      <c r="A61" s="24" t="s">
        <v>145</v>
      </c>
      <c r="B61" s="25" t="s">
        <v>149</v>
      </c>
      <c r="C61" s="24" t="s">
        <v>150</v>
      </c>
      <c r="D61" s="24" t="s">
        <v>214</v>
      </c>
      <c r="E61" s="26">
        <v>420</v>
      </c>
      <c r="F61" s="26">
        <v>2</v>
      </c>
      <c r="G61" s="27">
        <v>7</v>
      </c>
      <c r="H61" s="28">
        <v>5</v>
      </c>
      <c r="I61" s="17">
        <f t="shared" si="42"/>
        <v>3.2</v>
      </c>
      <c r="J61" s="17">
        <f t="shared" si="43"/>
        <v>1.4</v>
      </c>
      <c r="K61" s="17">
        <f t="shared" si="44"/>
        <v>99.08</v>
      </c>
      <c r="L61" s="17">
        <f t="shared" si="45"/>
        <v>132.7</v>
      </c>
      <c r="M61" s="18">
        <f t="shared" si="46"/>
        <v>0.010714657820701887</v>
      </c>
      <c r="N61" s="17">
        <f t="shared" si="38"/>
        <v>0.113</v>
      </c>
      <c r="O61" s="17">
        <f>(N61*1000)/((3.1415/6)*1000*('[1]PM number'!C12*0.000000001)^3*EXP(4.5*1.8^2))</f>
        <v>12559984304078172</v>
      </c>
      <c r="P61" s="19">
        <v>78</v>
      </c>
      <c r="Q61" s="19">
        <v>3</v>
      </c>
      <c r="R61" s="20">
        <f t="shared" si="47"/>
        <v>5.5</v>
      </c>
      <c r="S61" s="20">
        <f t="shared" si="48"/>
        <v>5.7</v>
      </c>
      <c r="T61" s="20">
        <f t="shared" si="49"/>
        <v>7.33</v>
      </c>
      <c r="U61" s="20">
        <f t="shared" si="50"/>
        <v>9.1</v>
      </c>
      <c r="V61" s="20">
        <f t="shared" si="39"/>
        <v>0.178</v>
      </c>
      <c r="W61" s="17">
        <f>(V61*1000)/((3.1415/6)*1000*('[1]PM number'!$E$12*0.000000001)^3*EXP(4.5*1.8^2))</f>
        <v>3449622426244120.5</v>
      </c>
      <c r="X61">
        <f t="shared" si="51"/>
        <v>0.03077199354162227</v>
      </c>
      <c r="Y61" s="19">
        <v>38</v>
      </c>
      <c r="Z61" s="19">
        <v>5.5</v>
      </c>
      <c r="AA61" s="20">
        <f t="shared" si="52"/>
        <v>7.7</v>
      </c>
      <c r="AB61" s="20">
        <f t="shared" si="53"/>
        <v>3.8</v>
      </c>
      <c r="AC61" s="20">
        <f t="shared" si="54"/>
        <v>15.94</v>
      </c>
      <c r="AD61" s="20">
        <f t="shared" si="55"/>
        <v>20.3</v>
      </c>
      <c r="AE61" s="20">
        <f t="shared" si="40"/>
        <v>0.142</v>
      </c>
      <c r="AF61" s="17">
        <f>(AE61*1000)/((3.1415/6)*1000*('[1]PM number'!$D$12*0.000000001)^3*EXP(4.5*1.8^2))</f>
        <v>12187636807963100</v>
      </c>
      <c r="AG61" s="17">
        <f t="shared" si="56"/>
        <v>0.0234431418136523</v>
      </c>
      <c r="AH61" s="21">
        <f t="shared" si="34"/>
        <v>32.8</v>
      </c>
      <c r="AI61" s="21">
        <f t="shared" si="35"/>
        <v>130.2</v>
      </c>
      <c r="AJ61" s="21">
        <f t="shared" si="20"/>
        <v>960.2</v>
      </c>
      <c r="AK61" s="21">
        <f t="shared" si="36"/>
        <v>1262</v>
      </c>
      <c r="AL61" s="21">
        <f t="shared" si="37"/>
        <v>4.9</v>
      </c>
      <c r="AM61" s="21">
        <f t="shared" si="23"/>
        <v>28197243538285390</v>
      </c>
      <c r="AN61" s="19">
        <v>1</v>
      </c>
      <c r="AO61" s="19">
        <v>65</v>
      </c>
      <c r="AP61" s="22">
        <f t="shared" si="57"/>
        <v>0.028269377008378737</v>
      </c>
      <c r="AQ61" s="22">
        <f t="shared" si="58"/>
        <v>5.1</v>
      </c>
      <c r="AR61" s="22">
        <f t="shared" si="59"/>
        <v>8.93</v>
      </c>
      <c r="AS61" s="22">
        <f t="shared" si="60"/>
        <v>11.2</v>
      </c>
      <c r="AT61" s="22">
        <f t="shared" si="41"/>
        <v>0.167</v>
      </c>
      <c r="AU61" s="23">
        <f t="shared" si="29"/>
        <v>203.5</v>
      </c>
      <c r="AV61" s="23">
        <f t="shared" si="30"/>
        <v>1.04</v>
      </c>
      <c r="AW61" s="23">
        <f t="shared" si="31"/>
        <v>1.82</v>
      </c>
      <c r="AX61" s="23">
        <f t="shared" si="32"/>
        <v>2.28</v>
      </c>
      <c r="AY61" s="23">
        <f t="shared" si="33"/>
        <v>34</v>
      </c>
      <c r="AZ61" s="23">
        <f>(AY61*1000)/((3.1415/6)*1000*('[1]PM number'!$F$12*0.000000001)^3*EXP(4.5*1.8^2))</f>
        <v>1.0050748138419663E+18</v>
      </c>
    </row>
    <row r="62" spans="1:52" ht="25.5">
      <c r="A62" s="24" t="s">
        <v>220</v>
      </c>
      <c r="B62" s="25" t="s">
        <v>146</v>
      </c>
      <c r="C62" s="24" t="s">
        <v>221</v>
      </c>
      <c r="D62" s="24" t="s">
        <v>222</v>
      </c>
      <c r="E62" s="26">
        <v>450</v>
      </c>
      <c r="F62" s="26">
        <v>2</v>
      </c>
      <c r="G62" s="27">
        <v>7</v>
      </c>
      <c r="H62" s="28">
        <v>5</v>
      </c>
      <c r="I62" s="17">
        <f t="shared" si="42"/>
        <v>3.3</v>
      </c>
      <c r="J62" s="17">
        <f t="shared" si="43"/>
        <v>1.5</v>
      </c>
      <c r="K62" s="17">
        <f t="shared" si="44"/>
        <v>91.97</v>
      </c>
      <c r="L62" s="17">
        <f t="shared" si="45"/>
        <v>122.9</v>
      </c>
      <c r="M62" s="18">
        <f t="shared" si="46"/>
        <v>0.01108531970079765</v>
      </c>
      <c r="N62" s="17">
        <f t="shared" si="38"/>
        <v>0.113</v>
      </c>
      <c r="O62" s="17">
        <f>(N62*1000)/((3.1415/6)*1000*('[1]PM number'!C12*0.000000001)^3*EXP(4.5*1.8^2))</f>
        <v>12559984304078172</v>
      </c>
      <c r="P62" s="19">
        <v>78</v>
      </c>
      <c r="Q62" s="19">
        <v>3</v>
      </c>
      <c r="R62" s="20">
        <f t="shared" si="47"/>
        <v>5.8</v>
      </c>
      <c r="S62" s="20">
        <f t="shared" si="48"/>
        <v>5.9</v>
      </c>
      <c r="T62" s="20">
        <f t="shared" si="49"/>
        <v>6.8</v>
      </c>
      <c r="U62" s="20">
        <f t="shared" si="50"/>
        <v>8.5</v>
      </c>
      <c r="V62" s="20">
        <f t="shared" si="39"/>
        <v>0.183</v>
      </c>
      <c r="W62" s="17">
        <f>(V62*1000)/((3.1415/6)*1000*('[1]PM number'!$E$12*0.000000001)^3*EXP(4.5*1.8^2))</f>
        <v>3546521932599292.5</v>
      </c>
      <c r="X62">
        <f t="shared" si="51"/>
        <v>0.031950698298787855</v>
      </c>
      <c r="Y62" s="19">
        <v>38</v>
      </c>
      <c r="Z62" s="19">
        <v>5.5</v>
      </c>
      <c r="AA62" s="20">
        <f t="shared" si="52"/>
        <v>7.9</v>
      </c>
      <c r="AB62" s="20">
        <f t="shared" si="53"/>
        <v>3.9</v>
      </c>
      <c r="AC62" s="20">
        <f t="shared" si="54"/>
        <v>14.79</v>
      </c>
      <c r="AD62" s="20">
        <f t="shared" si="55"/>
        <v>18.8</v>
      </c>
      <c r="AE62" s="20">
        <f t="shared" si="40"/>
        <v>0.145</v>
      </c>
      <c r="AF62" s="17">
        <f>(AE62*1000)/((3.1415/6)*1000*('[1]PM number'!$D$12*0.000000001)^3*EXP(4.5*1.8^2))</f>
        <v>12445122092638376</v>
      </c>
      <c r="AG62" s="17">
        <f t="shared" si="56"/>
        <v>0.02399575608139055</v>
      </c>
      <c r="AH62" s="21">
        <f t="shared" si="34"/>
        <v>34</v>
      </c>
      <c r="AI62" s="21">
        <f t="shared" si="35"/>
        <v>140</v>
      </c>
      <c r="AJ62" s="21">
        <f t="shared" si="20"/>
        <v>919.6</v>
      </c>
      <c r="AK62" s="21">
        <f t="shared" si="36"/>
        <v>1206.8</v>
      </c>
      <c r="AL62" s="21">
        <f t="shared" si="37"/>
        <v>5.2</v>
      </c>
      <c r="AM62" s="21">
        <f t="shared" si="23"/>
        <v>28551628329315840</v>
      </c>
      <c r="AN62" s="19">
        <v>1</v>
      </c>
      <c r="AO62" s="19">
        <v>65</v>
      </c>
      <c r="AP62" s="22">
        <f t="shared" si="57"/>
        <v>0.02912421021580949</v>
      </c>
      <c r="AQ62" s="22">
        <f t="shared" si="58"/>
        <v>5.3</v>
      </c>
      <c r="AR62" s="22">
        <f t="shared" si="59"/>
        <v>8.28</v>
      </c>
      <c r="AS62" s="22">
        <f t="shared" si="60"/>
        <v>10.4</v>
      </c>
      <c r="AT62" s="22">
        <f t="shared" si="41"/>
        <v>0.171</v>
      </c>
      <c r="AU62" s="23">
        <f t="shared" si="29"/>
        <v>209.7</v>
      </c>
      <c r="AV62" s="23">
        <f t="shared" si="30"/>
        <v>1.11</v>
      </c>
      <c r="AW62" s="23">
        <f t="shared" si="31"/>
        <v>1.74</v>
      </c>
      <c r="AX62" s="23">
        <f t="shared" si="32"/>
        <v>2.18</v>
      </c>
      <c r="AY62" s="23">
        <f t="shared" si="33"/>
        <v>35.9</v>
      </c>
      <c r="AZ62" s="23">
        <f>(AY62*1000)/((3.1415/6)*1000*('[1]PM number'!$F$12*0.000000001)^3*EXP(4.5*1.8^2))</f>
        <v>1.0612407593213704E+18</v>
      </c>
    </row>
    <row r="63" spans="1:52" ht="25.5">
      <c r="A63" s="24" t="s">
        <v>220</v>
      </c>
      <c r="B63" s="25" t="s">
        <v>223</v>
      </c>
      <c r="C63" s="24" t="s">
        <v>224</v>
      </c>
      <c r="D63" s="24" t="s">
        <v>222</v>
      </c>
      <c r="E63" s="26">
        <v>450</v>
      </c>
      <c r="F63" s="26">
        <v>2</v>
      </c>
      <c r="G63" s="27">
        <v>7</v>
      </c>
      <c r="H63" s="28">
        <v>5</v>
      </c>
      <c r="I63" s="17">
        <f t="shared" si="42"/>
        <v>3.3</v>
      </c>
      <c r="J63" s="17">
        <f t="shared" si="43"/>
        <v>1.5</v>
      </c>
      <c r="K63" s="17">
        <f t="shared" si="44"/>
        <v>91.97</v>
      </c>
      <c r="L63" s="17">
        <f t="shared" si="45"/>
        <v>122.9</v>
      </c>
      <c r="M63" s="18">
        <f t="shared" si="46"/>
        <v>0.01108531970079765</v>
      </c>
      <c r="N63" s="17">
        <f t="shared" si="38"/>
        <v>0.113</v>
      </c>
      <c r="O63" s="17">
        <f>(N63*1000)/((3.1415/6)*1000*('[1]PM number'!C12*0.000000001)^3*EXP(4.5*1.8^2))</f>
        <v>12559984304078172</v>
      </c>
      <c r="P63" s="19">
        <v>78</v>
      </c>
      <c r="Q63" s="19">
        <v>3</v>
      </c>
      <c r="R63" s="20">
        <f t="shared" si="47"/>
        <v>5.8</v>
      </c>
      <c r="S63" s="20">
        <f t="shared" si="48"/>
        <v>5.9</v>
      </c>
      <c r="T63" s="20">
        <f t="shared" si="49"/>
        <v>6.8</v>
      </c>
      <c r="U63" s="20">
        <f t="shared" si="50"/>
        <v>8.5</v>
      </c>
      <c r="V63" s="20">
        <f t="shared" si="39"/>
        <v>0.183</v>
      </c>
      <c r="W63" s="17">
        <f>(V63*1000)/((3.1415/6)*1000*('[1]PM number'!$E$12*0.000000001)^3*EXP(4.5*1.8^2))</f>
        <v>3546521932599292.5</v>
      </c>
      <c r="X63">
        <f t="shared" si="51"/>
        <v>0.031950698298787855</v>
      </c>
      <c r="Y63" s="19">
        <v>38</v>
      </c>
      <c r="Z63" s="19">
        <v>5.5</v>
      </c>
      <c r="AA63" s="20">
        <f t="shared" si="52"/>
        <v>7.9</v>
      </c>
      <c r="AB63" s="20">
        <f t="shared" si="53"/>
        <v>3.9</v>
      </c>
      <c r="AC63" s="20">
        <f t="shared" si="54"/>
        <v>14.79</v>
      </c>
      <c r="AD63" s="20">
        <f t="shared" si="55"/>
        <v>18.8</v>
      </c>
      <c r="AE63" s="20">
        <f t="shared" si="40"/>
        <v>0.145</v>
      </c>
      <c r="AF63" s="17">
        <f>(AE63*1000)/((3.1415/6)*1000*('[1]PM number'!$D$12*0.000000001)^3*EXP(4.5*1.8^2))</f>
        <v>12445122092638376</v>
      </c>
      <c r="AG63" s="17">
        <f t="shared" si="56"/>
        <v>0.02399575608139055</v>
      </c>
      <c r="AH63" s="21">
        <f t="shared" si="34"/>
        <v>34</v>
      </c>
      <c r="AI63" s="21">
        <f t="shared" si="35"/>
        <v>140</v>
      </c>
      <c r="AJ63" s="21">
        <f t="shared" si="20"/>
        <v>919.6</v>
      </c>
      <c r="AK63" s="21">
        <f t="shared" si="36"/>
        <v>1206.8</v>
      </c>
      <c r="AL63" s="21">
        <f t="shared" si="37"/>
        <v>5.2</v>
      </c>
      <c r="AM63" s="21">
        <f t="shared" si="23"/>
        <v>28551628329315840</v>
      </c>
      <c r="AN63" s="19">
        <v>1</v>
      </c>
      <c r="AO63" s="19">
        <v>65</v>
      </c>
      <c r="AP63" s="22">
        <f t="shared" si="57"/>
        <v>0.02912421021580949</v>
      </c>
      <c r="AQ63" s="22">
        <f t="shared" si="58"/>
        <v>5.3</v>
      </c>
      <c r="AR63" s="22">
        <f t="shared" si="59"/>
        <v>8.28</v>
      </c>
      <c r="AS63" s="22">
        <f t="shared" si="60"/>
        <v>10.4</v>
      </c>
      <c r="AT63" s="22">
        <f t="shared" si="41"/>
        <v>0.171</v>
      </c>
      <c r="AU63" s="23">
        <f t="shared" si="29"/>
        <v>209.7</v>
      </c>
      <c r="AV63" s="23">
        <f t="shared" si="30"/>
        <v>1.11</v>
      </c>
      <c r="AW63" s="23">
        <f t="shared" si="31"/>
        <v>1.74</v>
      </c>
      <c r="AX63" s="23">
        <f t="shared" si="32"/>
        <v>2.18</v>
      </c>
      <c r="AY63" s="23">
        <f t="shared" si="33"/>
        <v>35.9</v>
      </c>
      <c r="AZ63" s="23">
        <f>(AY63*1000)/((3.1415/6)*1000*('[1]PM number'!$F$12*0.000000001)^3*EXP(4.5*1.8^2))</f>
        <v>1.0612407593213704E+18</v>
      </c>
    </row>
    <row r="64" spans="1:52" ht="25.5">
      <c r="A64" s="24" t="s">
        <v>220</v>
      </c>
      <c r="B64" s="25" t="s">
        <v>146</v>
      </c>
      <c r="C64" s="24" t="s">
        <v>225</v>
      </c>
      <c r="D64" s="24" t="s">
        <v>226</v>
      </c>
      <c r="E64" s="26">
        <v>450</v>
      </c>
      <c r="F64" s="26">
        <v>2</v>
      </c>
      <c r="G64" s="27">
        <v>7</v>
      </c>
      <c r="H64" s="28">
        <v>5</v>
      </c>
      <c r="I64" s="17">
        <f t="shared" si="42"/>
        <v>3.3</v>
      </c>
      <c r="J64" s="17">
        <f t="shared" si="43"/>
        <v>1.5</v>
      </c>
      <c r="K64" s="17">
        <f t="shared" si="44"/>
        <v>91.97</v>
      </c>
      <c r="L64" s="17">
        <f t="shared" si="45"/>
        <v>122.9</v>
      </c>
      <c r="M64" s="18">
        <f t="shared" si="46"/>
        <v>0.01108531970079765</v>
      </c>
      <c r="N64" s="17">
        <f t="shared" si="38"/>
        <v>0.113</v>
      </c>
      <c r="O64" s="17">
        <f>(N64*1000)/((3.1415/6)*1000*('[1]PM number'!C12*0.000000001)^3*EXP(4.5*1.8^2))</f>
        <v>12559984304078172</v>
      </c>
      <c r="P64" s="19">
        <v>78</v>
      </c>
      <c r="Q64" s="19">
        <v>3</v>
      </c>
      <c r="R64" s="20">
        <f t="shared" si="47"/>
        <v>5.8</v>
      </c>
      <c r="S64" s="20">
        <f t="shared" si="48"/>
        <v>5.9</v>
      </c>
      <c r="T64" s="20">
        <f t="shared" si="49"/>
        <v>6.8</v>
      </c>
      <c r="U64" s="20">
        <f t="shared" si="50"/>
        <v>8.5</v>
      </c>
      <c r="V64" s="20">
        <f t="shared" si="39"/>
        <v>0.183</v>
      </c>
      <c r="W64" s="17">
        <f>(V64*1000)/((3.1415/6)*1000*('[1]PM number'!$E$12*0.000000001)^3*EXP(4.5*1.8^2))</f>
        <v>3546521932599292.5</v>
      </c>
      <c r="X64">
        <f t="shared" si="51"/>
        <v>0.031950698298787855</v>
      </c>
      <c r="Y64" s="19">
        <v>38</v>
      </c>
      <c r="Z64" s="19">
        <v>5.5</v>
      </c>
      <c r="AA64" s="20">
        <f t="shared" si="52"/>
        <v>7.9</v>
      </c>
      <c r="AB64" s="20">
        <f t="shared" si="53"/>
        <v>3.9</v>
      </c>
      <c r="AC64" s="20">
        <f t="shared" si="54"/>
        <v>14.79</v>
      </c>
      <c r="AD64" s="20">
        <f t="shared" si="55"/>
        <v>18.8</v>
      </c>
      <c r="AE64" s="20">
        <f t="shared" si="40"/>
        <v>0.145</v>
      </c>
      <c r="AF64" s="17">
        <f>(AE64*1000)/((3.1415/6)*1000*('[1]PM number'!$D$12*0.000000001)^3*EXP(4.5*1.8^2))</f>
        <v>12445122092638376</v>
      </c>
      <c r="AG64" s="17">
        <f t="shared" si="56"/>
        <v>0.02399575608139055</v>
      </c>
      <c r="AH64" s="21">
        <f t="shared" si="34"/>
        <v>34</v>
      </c>
      <c r="AI64" s="21">
        <f t="shared" si="35"/>
        <v>140</v>
      </c>
      <c r="AJ64" s="21">
        <f t="shared" si="20"/>
        <v>919.6</v>
      </c>
      <c r="AK64" s="21">
        <f t="shared" si="36"/>
        <v>1206.8</v>
      </c>
      <c r="AL64" s="21">
        <f t="shared" si="37"/>
        <v>5.2</v>
      </c>
      <c r="AM64" s="21">
        <f t="shared" si="23"/>
        <v>28551628329315840</v>
      </c>
      <c r="AN64" s="19">
        <v>1</v>
      </c>
      <c r="AO64" s="19">
        <v>65</v>
      </c>
      <c r="AP64" s="22">
        <f t="shared" si="57"/>
        <v>0.02912421021580949</v>
      </c>
      <c r="AQ64" s="22">
        <f t="shared" si="58"/>
        <v>5.3</v>
      </c>
      <c r="AR64" s="22">
        <f t="shared" si="59"/>
        <v>8.28</v>
      </c>
      <c r="AS64" s="22">
        <f t="shared" si="60"/>
        <v>10.4</v>
      </c>
      <c r="AT64" s="22">
        <f t="shared" si="41"/>
        <v>0.171</v>
      </c>
      <c r="AU64" s="23">
        <f t="shared" si="29"/>
        <v>209.7</v>
      </c>
      <c r="AV64" s="23">
        <f t="shared" si="30"/>
        <v>1.11</v>
      </c>
      <c r="AW64" s="23">
        <f t="shared" si="31"/>
        <v>1.74</v>
      </c>
      <c r="AX64" s="23">
        <f t="shared" si="32"/>
        <v>2.18</v>
      </c>
      <c r="AY64" s="23">
        <f t="shared" si="33"/>
        <v>35.9</v>
      </c>
      <c r="AZ64" s="23">
        <f>(AY64*1000)/((3.1415/6)*1000*('[1]PM number'!$F$12*0.000000001)^3*EXP(4.5*1.8^2))</f>
        <v>1.0612407593213704E+18</v>
      </c>
    </row>
    <row r="65" spans="1:52" ht="25.5">
      <c r="A65" s="24" t="s">
        <v>227</v>
      </c>
      <c r="B65" s="25" t="s">
        <v>228</v>
      </c>
      <c r="C65" s="24" t="s">
        <v>229</v>
      </c>
      <c r="D65" s="24" t="s">
        <v>230</v>
      </c>
      <c r="E65" s="46">
        <v>700</v>
      </c>
      <c r="F65" s="26">
        <v>2</v>
      </c>
      <c r="G65" s="27">
        <v>7</v>
      </c>
      <c r="H65" s="28">
        <v>5</v>
      </c>
      <c r="I65" s="17">
        <f t="shared" si="42"/>
        <v>4.2</v>
      </c>
      <c r="J65" s="17">
        <f t="shared" si="43"/>
        <v>1.9</v>
      </c>
      <c r="K65" s="17">
        <f t="shared" si="44"/>
        <v>57.06</v>
      </c>
      <c r="L65" s="17">
        <f t="shared" si="45"/>
        <v>75.3</v>
      </c>
      <c r="M65" s="18">
        <f t="shared" si="46"/>
        <v>0.013898571190425564</v>
      </c>
      <c r="N65" s="17">
        <f t="shared" si="38"/>
        <v>0.117</v>
      </c>
      <c r="O65" s="17">
        <f>(N65*1000)/((3.1415/6)*1000*('[1]PM number'!C12*0.000000001)^3*EXP(4.5*1.8^2))</f>
        <v>13004585518381824</v>
      </c>
      <c r="P65" s="19">
        <v>78</v>
      </c>
      <c r="Q65" s="19">
        <v>3</v>
      </c>
      <c r="R65" s="20">
        <f t="shared" si="47"/>
        <v>7.7</v>
      </c>
      <c r="S65" s="20">
        <f t="shared" si="48"/>
        <v>7.6</v>
      </c>
      <c r="T65" s="20">
        <f t="shared" si="49"/>
        <v>4.22</v>
      </c>
      <c r="U65" s="20">
        <f t="shared" si="50"/>
        <v>5.2</v>
      </c>
      <c r="V65" s="20">
        <f t="shared" si="39"/>
        <v>0.22</v>
      </c>
      <c r="W65" s="17">
        <f>(V65*1000)/((3.1415/6)*1000*('[1]PM number'!$E$12*0.000000001)^3*EXP(4.5*1.8^2))</f>
        <v>4263578279627564.5</v>
      </c>
      <c r="X65">
        <f t="shared" si="51"/>
        <v>0.0429449234732748</v>
      </c>
      <c r="Y65" s="19">
        <v>38</v>
      </c>
      <c r="Z65" s="19">
        <v>5.5</v>
      </c>
      <c r="AA65" s="20">
        <f t="shared" si="52"/>
        <v>9.8</v>
      </c>
      <c r="AB65" s="20">
        <f t="shared" si="53"/>
        <v>5</v>
      </c>
      <c r="AC65" s="20">
        <f t="shared" si="54"/>
        <v>9.18</v>
      </c>
      <c r="AD65" s="20">
        <f t="shared" si="55"/>
        <v>11.5</v>
      </c>
      <c r="AE65" s="20">
        <f t="shared" si="40"/>
        <v>0.165</v>
      </c>
      <c r="AF65" s="17">
        <f>(AE65*1000)/((3.1415/6)*1000*('[1]PM number'!$D$12*0.000000001)^3*EXP(4.5*1.8^2))</f>
        <v>14161690657140222</v>
      </c>
      <c r="AG65" s="17">
        <f t="shared" si="56"/>
        <v>0.029732579800590443</v>
      </c>
      <c r="AH65" s="21">
        <f t="shared" si="34"/>
        <v>43.4</v>
      </c>
      <c r="AI65" s="21">
        <f t="shared" si="35"/>
        <v>231</v>
      </c>
      <c r="AJ65" s="21">
        <f t="shared" si="20"/>
        <v>724.2</v>
      </c>
      <c r="AK65" s="21">
        <f t="shared" si="36"/>
        <v>938</v>
      </c>
      <c r="AL65" s="21">
        <f t="shared" si="37"/>
        <v>7.6</v>
      </c>
      <c r="AM65" s="21">
        <f t="shared" si="23"/>
        <v>31429854455149610</v>
      </c>
      <c r="AN65" s="19">
        <v>1</v>
      </c>
      <c r="AO65" s="19">
        <v>65</v>
      </c>
      <c r="AP65" s="22">
        <f t="shared" si="57"/>
        <v>0.03809993703507059</v>
      </c>
      <c r="AQ65" s="22">
        <f t="shared" si="58"/>
        <v>6.8</v>
      </c>
      <c r="AR65" s="22">
        <f t="shared" si="59"/>
        <v>5.14</v>
      </c>
      <c r="AS65" s="22">
        <f t="shared" si="60"/>
        <v>6.3</v>
      </c>
      <c r="AT65" s="22">
        <f t="shared" si="41"/>
        <v>0.203</v>
      </c>
      <c r="AU65" s="23">
        <f t="shared" si="29"/>
        <v>274.3</v>
      </c>
      <c r="AV65" s="23">
        <f t="shared" si="30"/>
        <v>1.87</v>
      </c>
      <c r="AW65" s="23">
        <f t="shared" si="31"/>
        <v>1.41</v>
      </c>
      <c r="AX65" s="23">
        <f t="shared" si="32"/>
        <v>1.73</v>
      </c>
      <c r="AY65" s="23">
        <f t="shared" si="33"/>
        <v>55.7</v>
      </c>
      <c r="AZ65" s="23">
        <f>(AY65*1000)/((3.1415/6)*1000*('[1]PM number'!$F$12*0.000000001)^3*EXP(4.5*1.8^2))</f>
        <v>1.646549033264633E+18</v>
      </c>
    </row>
    <row r="66" spans="1:52" ht="25.5">
      <c r="A66" s="24" t="s">
        <v>227</v>
      </c>
      <c r="B66" s="25" t="s">
        <v>215</v>
      </c>
      <c r="C66" s="24" t="s">
        <v>216</v>
      </c>
      <c r="D66" s="24" t="s">
        <v>231</v>
      </c>
      <c r="E66" s="26">
        <v>650</v>
      </c>
      <c r="F66" s="26">
        <v>2</v>
      </c>
      <c r="G66" s="27">
        <v>7</v>
      </c>
      <c r="H66" s="28">
        <v>5</v>
      </c>
      <c r="I66" s="17">
        <f t="shared" si="42"/>
        <v>4</v>
      </c>
      <c r="J66" s="17">
        <f t="shared" si="43"/>
        <v>1.8</v>
      </c>
      <c r="K66" s="17">
        <f t="shared" si="44"/>
        <v>61.82</v>
      </c>
      <c r="L66" s="17">
        <f t="shared" si="45"/>
        <v>81.7</v>
      </c>
      <c r="M66" s="18">
        <f t="shared" si="46"/>
        <v>0.013433787427717243</v>
      </c>
      <c r="N66" s="17">
        <f t="shared" si="38"/>
        <v>0.116</v>
      </c>
      <c r="O66" s="17">
        <f>(N66*1000)/((3.1415/6)*1000*('[1]PM number'!C12*0.000000001)^3*EXP(4.5*1.8^2))</f>
        <v>12893435214805910</v>
      </c>
      <c r="P66" s="19">
        <v>78</v>
      </c>
      <c r="Q66" s="19">
        <v>3</v>
      </c>
      <c r="R66" s="20">
        <f t="shared" si="47"/>
        <v>7.3</v>
      </c>
      <c r="S66" s="20">
        <f t="shared" si="48"/>
        <v>7.3</v>
      </c>
      <c r="T66" s="20">
        <f t="shared" si="49"/>
        <v>4.57</v>
      </c>
      <c r="U66" s="20">
        <f t="shared" si="50"/>
        <v>5.6</v>
      </c>
      <c r="V66" s="20">
        <f t="shared" si="39"/>
        <v>0.213</v>
      </c>
      <c r="W66" s="17">
        <f>(V66*1000)/((3.1415/6)*1000*('[1]PM number'!$E$12*0.000000001)^3*EXP(4.5*1.8^2))</f>
        <v>4127918970730324</v>
      </c>
      <c r="X66">
        <f t="shared" si="51"/>
        <v>0.040794978688814355</v>
      </c>
      <c r="Y66" s="19">
        <v>38</v>
      </c>
      <c r="Z66" s="19">
        <v>5.5</v>
      </c>
      <c r="AA66" s="20">
        <f t="shared" si="52"/>
        <v>9.5</v>
      </c>
      <c r="AB66" s="20">
        <f t="shared" si="53"/>
        <v>4.8</v>
      </c>
      <c r="AC66" s="20">
        <f t="shared" si="54"/>
        <v>9.94</v>
      </c>
      <c r="AD66" s="20">
        <f t="shared" si="55"/>
        <v>12.5</v>
      </c>
      <c r="AE66" s="20">
        <f t="shared" si="40"/>
        <v>0.161</v>
      </c>
      <c r="AF66" s="17">
        <f>(AE66*1000)/((3.1415/6)*1000*('[1]PM number'!$D$12*0.000000001)^3*EXP(4.5*1.8^2))</f>
        <v>13818376944239852</v>
      </c>
      <c r="AG66" s="17">
        <f t="shared" si="56"/>
        <v>0.028890614065261916</v>
      </c>
      <c r="AH66" s="21">
        <f t="shared" si="34"/>
        <v>41.6</v>
      </c>
      <c r="AI66" s="21">
        <f t="shared" si="35"/>
        <v>212.2</v>
      </c>
      <c r="AJ66" s="21">
        <f aca="true" t="shared" si="61" ref="AJ66:AJ129">ROUND((K66*I66+T66*R66+AC66*AA66)*F66,1)</f>
        <v>750.1</v>
      </c>
      <c r="AK66" s="21">
        <f t="shared" si="36"/>
        <v>972.9</v>
      </c>
      <c r="AL66" s="21">
        <f t="shared" si="37"/>
        <v>7.1</v>
      </c>
      <c r="AM66" s="21">
        <f aca="true" t="shared" si="62" ref="AM66:AM129">O66+W66+AF66</f>
        <v>30839731129776090</v>
      </c>
      <c r="AN66" s="19">
        <v>1</v>
      </c>
      <c r="AO66" s="19">
        <v>65</v>
      </c>
      <c r="AP66" s="22">
        <f t="shared" si="57"/>
        <v>0.03652451035627848</v>
      </c>
      <c r="AQ66" s="22">
        <f t="shared" si="58"/>
        <v>6.5</v>
      </c>
      <c r="AR66" s="22">
        <f t="shared" si="59"/>
        <v>5.57</v>
      </c>
      <c r="AS66" s="22">
        <f t="shared" si="60"/>
        <v>6.9</v>
      </c>
      <c r="AT66" s="22">
        <f t="shared" si="41"/>
        <v>0.197</v>
      </c>
      <c r="AU66" s="23">
        <f aca="true" t="shared" si="63" ref="AU66:AU129">ROUND(3600*AP66*AN66*F66,1)</f>
        <v>263</v>
      </c>
      <c r="AV66" s="23">
        <f aca="true" t="shared" si="64" ref="AV66:AV129">ROUND(3600*AP66*AN66*AQ66*F66/1000,2)</f>
        <v>1.71</v>
      </c>
      <c r="AW66" s="23">
        <f aca="true" t="shared" si="65" ref="AW66:AW129">ROUND(3600*AP66*AN66*AR66*F66/1000,2)</f>
        <v>1.46</v>
      </c>
      <c r="AX66" s="23">
        <f aca="true" t="shared" si="66" ref="AX66:AX129">ROUND(3600*AP66*AN66*AS66*F66/1000,2)</f>
        <v>1.81</v>
      </c>
      <c r="AY66" s="23">
        <f aca="true" t="shared" si="67" ref="AY66:AY129">ROUND((3600*AP66*AN66*AT66*F66/1000)*1000,1)</f>
        <v>51.8</v>
      </c>
      <c r="AZ66" s="23">
        <f>(AY66*1000)/((3.1415/6)*1000*('[1]PM number'!$F$12*0.000000001)^3*EXP(4.5*1.8^2))</f>
        <v>1.5312610399121723E+18</v>
      </c>
    </row>
    <row r="67" spans="1:52" ht="25.5">
      <c r="A67" s="24" t="s">
        <v>227</v>
      </c>
      <c r="B67" s="25" t="s">
        <v>186</v>
      </c>
      <c r="C67" s="24" t="s">
        <v>212</v>
      </c>
      <c r="D67" s="24" t="s">
        <v>232</v>
      </c>
      <c r="E67" s="26">
        <v>650</v>
      </c>
      <c r="F67" s="26">
        <v>2</v>
      </c>
      <c r="G67" s="27">
        <v>7</v>
      </c>
      <c r="H67" s="28">
        <v>5</v>
      </c>
      <c r="I67" s="17">
        <f t="shared" si="42"/>
        <v>4</v>
      </c>
      <c r="J67" s="17">
        <f t="shared" si="43"/>
        <v>1.8</v>
      </c>
      <c r="K67" s="17">
        <f t="shared" si="44"/>
        <v>61.82</v>
      </c>
      <c r="L67" s="17">
        <f t="shared" si="45"/>
        <v>81.7</v>
      </c>
      <c r="M67" s="18">
        <f t="shared" si="46"/>
        <v>0.013433787427717243</v>
      </c>
      <c r="N67" s="17">
        <f t="shared" si="38"/>
        <v>0.116</v>
      </c>
      <c r="O67" s="17">
        <f>(N67*1000)/((3.1415/6)*1000*('[1]PM number'!C12*0.000000001)^3*EXP(4.5*1.8^2))</f>
        <v>12893435214805910</v>
      </c>
      <c r="P67" s="19">
        <v>78</v>
      </c>
      <c r="Q67" s="19">
        <v>3</v>
      </c>
      <c r="R67" s="20">
        <f t="shared" si="47"/>
        <v>7.3</v>
      </c>
      <c r="S67" s="20">
        <f t="shared" si="48"/>
        <v>7.3</v>
      </c>
      <c r="T67" s="20">
        <f t="shared" si="49"/>
        <v>4.57</v>
      </c>
      <c r="U67" s="20">
        <f t="shared" si="50"/>
        <v>5.6</v>
      </c>
      <c r="V67" s="20">
        <f t="shared" si="39"/>
        <v>0.213</v>
      </c>
      <c r="W67" s="17">
        <f>(V67*1000)/((3.1415/6)*1000*('[1]PM number'!$E$12*0.000000001)^3*EXP(4.5*1.8^2))</f>
        <v>4127918970730324</v>
      </c>
      <c r="X67">
        <f t="shared" si="51"/>
        <v>0.040794978688814355</v>
      </c>
      <c r="Y67" s="19">
        <v>38</v>
      </c>
      <c r="Z67" s="19">
        <v>5.5</v>
      </c>
      <c r="AA67" s="20">
        <f t="shared" si="52"/>
        <v>9.5</v>
      </c>
      <c r="AB67" s="20">
        <f t="shared" si="53"/>
        <v>4.8</v>
      </c>
      <c r="AC67" s="20">
        <f t="shared" si="54"/>
        <v>9.94</v>
      </c>
      <c r="AD67" s="20">
        <f t="shared" si="55"/>
        <v>12.5</v>
      </c>
      <c r="AE67" s="20">
        <f t="shared" si="40"/>
        <v>0.161</v>
      </c>
      <c r="AF67" s="17">
        <f>(AE67*1000)/((3.1415/6)*1000*('[1]PM number'!$D$12*0.000000001)^3*EXP(4.5*1.8^2))</f>
        <v>13818376944239852</v>
      </c>
      <c r="AG67" s="17">
        <f t="shared" si="56"/>
        <v>0.028890614065261916</v>
      </c>
      <c r="AH67" s="21">
        <f t="shared" si="34"/>
        <v>41.6</v>
      </c>
      <c r="AI67" s="21">
        <f t="shared" si="35"/>
        <v>212.2</v>
      </c>
      <c r="AJ67" s="21">
        <f t="shared" si="61"/>
        <v>750.1</v>
      </c>
      <c r="AK67" s="21">
        <f t="shared" si="36"/>
        <v>972.9</v>
      </c>
      <c r="AL67" s="21">
        <f t="shared" si="37"/>
        <v>7.1</v>
      </c>
      <c r="AM67" s="21">
        <f t="shared" si="62"/>
        <v>30839731129776090</v>
      </c>
      <c r="AN67" s="19">
        <v>1</v>
      </c>
      <c r="AO67" s="19">
        <v>65</v>
      </c>
      <c r="AP67" s="22">
        <f t="shared" si="57"/>
        <v>0.03652451035627848</v>
      </c>
      <c r="AQ67" s="22">
        <f t="shared" si="58"/>
        <v>6.5</v>
      </c>
      <c r="AR67" s="22">
        <f t="shared" si="59"/>
        <v>5.57</v>
      </c>
      <c r="AS67" s="22">
        <f t="shared" si="60"/>
        <v>6.9</v>
      </c>
      <c r="AT67" s="22">
        <f t="shared" si="41"/>
        <v>0.197</v>
      </c>
      <c r="AU67" s="23">
        <f t="shared" si="63"/>
        <v>263</v>
      </c>
      <c r="AV67" s="23">
        <f t="shared" si="64"/>
        <v>1.71</v>
      </c>
      <c r="AW67" s="23">
        <f t="shared" si="65"/>
        <v>1.46</v>
      </c>
      <c r="AX67" s="23">
        <f t="shared" si="66"/>
        <v>1.81</v>
      </c>
      <c r="AY67" s="23">
        <f t="shared" si="67"/>
        <v>51.8</v>
      </c>
      <c r="AZ67" s="23">
        <f>(AY67*1000)/((3.1415/6)*1000*('[1]PM number'!$F$12*0.000000001)^3*EXP(4.5*1.8^2))</f>
        <v>1.5312610399121723E+18</v>
      </c>
    </row>
    <row r="68" spans="1:52" ht="25.5">
      <c r="A68" s="24" t="s">
        <v>233</v>
      </c>
      <c r="B68" s="25" t="s">
        <v>234</v>
      </c>
      <c r="C68" s="24" t="s">
        <v>235</v>
      </c>
      <c r="D68" s="24" t="s">
        <v>236</v>
      </c>
      <c r="E68" s="26">
        <v>715</v>
      </c>
      <c r="F68" s="26">
        <v>2</v>
      </c>
      <c r="G68" s="27">
        <v>7</v>
      </c>
      <c r="H68" s="28">
        <v>5</v>
      </c>
      <c r="I68" s="17">
        <f t="shared" si="42"/>
        <v>4.2</v>
      </c>
      <c r="J68" s="17">
        <f t="shared" si="43"/>
        <v>1.9</v>
      </c>
      <c r="K68" s="17">
        <f t="shared" si="44"/>
        <v>55.77</v>
      </c>
      <c r="L68" s="17">
        <f t="shared" si="45"/>
        <v>73.5</v>
      </c>
      <c r="M68" s="18">
        <f t="shared" si="46"/>
        <v>0.01403589934765712</v>
      </c>
      <c r="N68" s="17">
        <f t="shared" si="38"/>
        <v>0.117</v>
      </c>
      <c r="O68" s="17">
        <f>(N68*1000)/((3.1415/6)*1000*('[1]PM number'!C12*0.000000001)^3*EXP(4.5*1.8^2))</f>
        <v>13004585518381824</v>
      </c>
      <c r="P68" s="19">
        <v>78</v>
      </c>
      <c r="Q68" s="19">
        <v>3</v>
      </c>
      <c r="R68" s="20">
        <f t="shared" si="47"/>
        <v>7.8</v>
      </c>
      <c r="S68" s="20">
        <f t="shared" si="48"/>
        <v>7.7</v>
      </c>
      <c r="T68" s="20">
        <f t="shared" si="49"/>
        <v>4.13</v>
      </c>
      <c r="U68" s="20">
        <f t="shared" si="50"/>
        <v>5.1</v>
      </c>
      <c r="V68" s="20">
        <f t="shared" si="39"/>
        <v>0.223</v>
      </c>
      <c r="W68" s="17">
        <f>(V68*1000)/((3.1415/6)*1000*('[1]PM number'!$E$12*0.000000001)^3*EXP(4.5*1.8^2))</f>
        <v>4321717983440667.5</v>
      </c>
      <c r="X68">
        <f t="shared" si="51"/>
        <v>0.043608136065723786</v>
      </c>
      <c r="Y68" s="19">
        <v>38</v>
      </c>
      <c r="Z68" s="19">
        <v>5.5</v>
      </c>
      <c r="AA68" s="20">
        <f t="shared" si="52"/>
        <v>9.9</v>
      </c>
      <c r="AB68" s="20">
        <f t="shared" si="53"/>
        <v>5.1</v>
      </c>
      <c r="AC68" s="20">
        <f t="shared" si="54"/>
        <v>8.97</v>
      </c>
      <c r="AD68" s="20">
        <f t="shared" si="55"/>
        <v>11.2</v>
      </c>
      <c r="AE68" s="20">
        <f t="shared" si="40"/>
        <v>0.166</v>
      </c>
      <c r="AF68" s="17">
        <f>(AE68*1000)/((3.1415/6)*1000*('[1]PM number'!$D$12*0.000000001)^3*EXP(4.5*1.8^2))</f>
        <v>14247519085365314</v>
      </c>
      <c r="AG68" s="17">
        <f t="shared" si="56"/>
        <v>0.029979347101417274</v>
      </c>
      <c r="AH68" s="21">
        <f t="shared" si="34"/>
        <v>43.8</v>
      </c>
      <c r="AI68" s="21">
        <f t="shared" si="35"/>
        <v>237.1</v>
      </c>
      <c r="AJ68" s="21">
        <f t="shared" si="61"/>
        <v>710.5</v>
      </c>
      <c r="AK68" s="21">
        <f t="shared" si="36"/>
        <v>918.7</v>
      </c>
      <c r="AL68" s="21">
        <f t="shared" si="37"/>
        <v>7.7</v>
      </c>
      <c r="AM68" s="21">
        <f t="shared" si="62"/>
        <v>31573822587187810</v>
      </c>
      <c r="AN68" s="19">
        <v>1</v>
      </c>
      <c r="AO68" s="19">
        <v>65</v>
      </c>
      <c r="AP68" s="22">
        <f t="shared" si="57"/>
        <v>0.038589078496334535</v>
      </c>
      <c r="AQ68" s="22">
        <f t="shared" si="58"/>
        <v>6.9</v>
      </c>
      <c r="AR68" s="22">
        <f t="shared" si="59"/>
        <v>5.02</v>
      </c>
      <c r="AS68" s="22">
        <f t="shared" si="60"/>
        <v>6.2</v>
      </c>
      <c r="AT68" s="22">
        <f t="shared" si="41"/>
        <v>0.205</v>
      </c>
      <c r="AU68" s="23">
        <f t="shared" si="63"/>
        <v>277.8</v>
      </c>
      <c r="AV68" s="23">
        <f t="shared" si="64"/>
        <v>1.92</v>
      </c>
      <c r="AW68" s="23">
        <f t="shared" si="65"/>
        <v>1.39</v>
      </c>
      <c r="AX68" s="23">
        <f t="shared" si="66"/>
        <v>1.72</v>
      </c>
      <c r="AY68" s="23">
        <f t="shared" si="67"/>
        <v>57</v>
      </c>
      <c r="AZ68" s="23">
        <f>(AY68*1000)/((3.1415/6)*1000*('[1]PM number'!$F$12*0.000000001)^3*EXP(4.5*1.8^2))</f>
        <v>1.6849783643821202E+18</v>
      </c>
    </row>
    <row r="69" spans="1:52" ht="25.5">
      <c r="A69" s="24" t="s">
        <v>233</v>
      </c>
      <c r="B69" s="25" t="s">
        <v>237</v>
      </c>
      <c r="C69" s="24" t="s">
        <v>238</v>
      </c>
      <c r="D69" s="24" t="s">
        <v>236</v>
      </c>
      <c r="E69" s="26">
        <v>715</v>
      </c>
      <c r="F69" s="26">
        <v>2</v>
      </c>
      <c r="G69" s="27">
        <v>7</v>
      </c>
      <c r="H69" s="28">
        <v>5</v>
      </c>
      <c r="I69" s="17">
        <f t="shared" si="42"/>
        <v>4.2</v>
      </c>
      <c r="J69" s="17">
        <f t="shared" si="43"/>
        <v>1.9</v>
      </c>
      <c r="K69" s="17">
        <f t="shared" si="44"/>
        <v>55.77</v>
      </c>
      <c r="L69" s="17">
        <f t="shared" si="45"/>
        <v>73.5</v>
      </c>
      <c r="M69" s="18">
        <f t="shared" si="46"/>
        <v>0.01403589934765712</v>
      </c>
      <c r="N69" s="17">
        <f t="shared" si="38"/>
        <v>0.117</v>
      </c>
      <c r="O69" s="17">
        <f>(N69*1000)/((3.1415/6)*1000*('[1]PM number'!C12*0.000000001)^3*EXP(4.5*1.8^2))</f>
        <v>13004585518381824</v>
      </c>
      <c r="P69" s="19">
        <v>78</v>
      </c>
      <c r="Q69" s="19">
        <v>3</v>
      </c>
      <c r="R69" s="20">
        <f t="shared" si="47"/>
        <v>7.8</v>
      </c>
      <c r="S69" s="20">
        <f t="shared" si="48"/>
        <v>7.7</v>
      </c>
      <c r="T69" s="20">
        <f t="shared" si="49"/>
        <v>4.13</v>
      </c>
      <c r="U69" s="20">
        <f t="shared" si="50"/>
        <v>5.1</v>
      </c>
      <c r="V69" s="20">
        <f t="shared" si="39"/>
        <v>0.223</v>
      </c>
      <c r="W69" s="17">
        <f>(V69*1000)/((3.1415/6)*1000*('[1]PM number'!$E$12*0.000000001)^3*EXP(4.5*1.8^2))</f>
        <v>4321717983440667.5</v>
      </c>
      <c r="X69">
        <f t="shared" si="51"/>
        <v>0.043608136065723786</v>
      </c>
      <c r="Y69" s="19">
        <v>38</v>
      </c>
      <c r="Z69" s="19">
        <v>5.5</v>
      </c>
      <c r="AA69" s="20">
        <f t="shared" si="52"/>
        <v>9.9</v>
      </c>
      <c r="AB69" s="20">
        <f t="shared" si="53"/>
        <v>5.1</v>
      </c>
      <c r="AC69" s="20">
        <f t="shared" si="54"/>
        <v>8.97</v>
      </c>
      <c r="AD69" s="20">
        <f t="shared" si="55"/>
        <v>11.2</v>
      </c>
      <c r="AE69" s="20">
        <f t="shared" si="40"/>
        <v>0.166</v>
      </c>
      <c r="AF69" s="17">
        <f>(AE69*1000)/((3.1415/6)*1000*('[1]PM number'!$D$12*0.000000001)^3*EXP(4.5*1.8^2))</f>
        <v>14247519085365314</v>
      </c>
      <c r="AG69" s="17">
        <f t="shared" si="56"/>
        <v>0.029979347101417274</v>
      </c>
      <c r="AH69" s="21">
        <f t="shared" si="34"/>
        <v>43.8</v>
      </c>
      <c r="AI69" s="21">
        <f t="shared" si="35"/>
        <v>237.1</v>
      </c>
      <c r="AJ69" s="21">
        <f t="shared" si="61"/>
        <v>710.5</v>
      </c>
      <c r="AK69" s="21">
        <f t="shared" si="36"/>
        <v>918.7</v>
      </c>
      <c r="AL69" s="21">
        <f t="shared" si="37"/>
        <v>7.7</v>
      </c>
      <c r="AM69" s="21">
        <f t="shared" si="62"/>
        <v>31573822587187810</v>
      </c>
      <c r="AN69" s="19">
        <v>1</v>
      </c>
      <c r="AO69" s="19">
        <v>65</v>
      </c>
      <c r="AP69" s="22">
        <f t="shared" si="57"/>
        <v>0.038589078496334535</v>
      </c>
      <c r="AQ69" s="22">
        <f t="shared" si="58"/>
        <v>6.9</v>
      </c>
      <c r="AR69" s="22">
        <f t="shared" si="59"/>
        <v>5.02</v>
      </c>
      <c r="AS69" s="22">
        <f t="shared" si="60"/>
        <v>6.2</v>
      </c>
      <c r="AT69" s="22">
        <f t="shared" si="41"/>
        <v>0.205</v>
      </c>
      <c r="AU69" s="23">
        <f t="shared" si="63"/>
        <v>277.8</v>
      </c>
      <c r="AV69" s="23">
        <f t="shared" si="64"/>
        <v>1.92</v>
      </c>
      <c r="AW69" s="23">
        <f t="shared" si="65"/>
        <v>1.39</v>
      </c>
      <c r="AX69" s="23">
        <f t="shared" si="66"/>
        <v>1.72</v>
      </c>
      <c r="AY69" s="23">
        <f t="shared" si="67"/>
        <v>57</v>
      </c>
      <c r="AZ69" s="23">
        <f>(AY69*1000)/((3.1415/6)*1000*('[1]PM number'!$F$12*0.000000001)^3*EXP(4.5*1.8^2))</f>
        <v>1.6849783643821202E+18</v>
      </c>
    </row>
    <row r="70" spans="1:52" ht="25.5">
      <c r="A70" s="24" t="s">
        <v>239</v>
      </c>
      <c r="B70" s="25" t="s">
        <v>146</v>
      </c>
      <c r="C70" s="24" t="s">
        <v>147</v>
      </c>
      <c r="D70" s="24" t="s">
        <v>240</v>
      </c>
      <c r="E70" s="26">
        <v>580</v>
      </c>
      <c r="F70" s="26">
        <v>2</v>
      </c>
      <c r="G70" s="27">
        <v>7</v>
      </c>
      <c r="H70" s="28">
        <v>5</v>
      </c>
      <c r="I70" s="17">
        <f t="shared" si="42"/>
        <v>3.8</v>
      </c>
      <c r="J70" s="17">
        <f t="shared" si="43"/>
        <v>1.7</v>
      </c>
      <c r="K70" s="17">
        <f t="shared" si="44"/>
        <v>69.92</v>
      </c>
      <c r="L70" s="17">
        <f t="shared" si="45"/>
        <v>92.8</v>
      </c>
      <c r="M70" s="18">
        <f t="shared" si="46"/>
        <v>0.0126001595903179</v>
      </c>
      <c r="N70" s="17">
        <f t="shared" si="38"/>
        <v>0.115</v>
      </c>
      <c r="O70" s="17">
        <f>(N70*1000)/((3.1415/6)*1000*('[1]PM number'!C12*0.000000001)^3*EXP(4.5*1.8^2))</f>
        <v>12782284911229998</v>
      </c>
      <c r="P70" s="19">
        <v>78</v>
      </c>
      <c r="Q70" s="19">
        <v>3</v>
      </c>
      <c r="R70" s="20">
        <f t="shared" si="47"/>
        <v>6.8</v>
      </c>
      <c r="S70" s="20">
        <f t="shared" si="48"/>
        <v>6.8</v>
      </c>
      <c r="T70" s="20">
        <f t="shared" si="49"/>
        <v>5.17</v>
      </c>
      <c r="U70" s="20">
        <f t="shared" si="50"/>
        <v>6.4</v>
      </c>
      <c r="V70" s="20">
        <f t="shared" si="39"/>
        <v>0.203</v>
      </c>
      <c r="W70" s="17">
        <f>(V70*1000)/((3.1415/6)*1000*('[1]PM number'!E12*0.000000001)^3*EXP(4.5*1.8^2))</f>
        <v>3934119958019980</v>
      </c>
      <c r="X70">
        <f t="shared" si="51"/>
        <v>0.03758235883384485</v>
      </c>
      <c r="Y70" s="19">
        <v>38</v>
      </c>
      <c r="Z70" s="19">
        <v>5.5</v>
      </c>
      <c r="AA70" s="20">
        <f t="shared" si="52"/>
        <v>8.6</v>
      </c>
      <c r="AB70" s="20">
        <f t="shared" si="53"/>
        <v>4.5</v>
      </c>
      <c r="AC70" s="20">
        <f t="shared" si="54"/>
        <v>11.25</v>
      </c>
      <c r="AD70" s="20">
        <f t="shared" si="55"/>
        <v>14.2</v>
      </c>
      <c r="AE70" s="20">
        <f t="shared" si="40"/>
        <v>0.155</v>
      </c>
      <c r="AF70" s="17">
        <f>(AE70*1000)/((3.1415/6)*1000*('[1]PM number'!D12*0.000000001)^3*EXP(4.5*1.8^2))</f>
        <v>13303406374889300</v>
      </c>
      <c r="AG70" s="17">
        <f t="shared" si="56"/>
        <v>0.026105629688469096</v>
      </c>
      <c r="AH70" s="21">
        <f t="shared" si="34"/>
        <v>38.4</v>
      </c>
      <c r="AI70" s="21">
        <f t="shared" si="35"/>
        <v>182.8</v>
      </c>
      <c r="AJ70" s="21">
        <f t="shared" si="61"/>
        <v>795.2</v>
      </c>
      <c r="AK70" s="21">
        <f t="shared" si="36"/>
        <v>1036.6</v>
      </c>
      <c r="AL70" s="21">
        <f t="shared" si="37"/>
        <v>6.3</v>
      </c>
      <c r="AM70" s="21">
        <f t="shared" si="62"/>
        <v>30019811244139280</v>
      </c>
      <c r="AN70" s="19">
        <v>1</v>
      </c>
      <c r="AO70" s="19">
        <v>65</v>
      </c>
      <c r="AP70" s="22">
        <f t="shared" si="57"/>
        <v>0.033327944726840364</v>
      </c>
      <c r="AQ70" s="22">
        <f t="shared" si="58"/>
        <v>6.1</v>
      </c>
      <c r="AR70" s="22">
        <f t="shared" si="59"/>
        <v>6.3</v>
      </c>
      <c r="AS70" s="22">
        <f t="shared" si="60"/>
        <v>7.8</v>
      </c>
      <c r="AT70" s="22">
        <f t="shared" si="41"/>
        <v>0.188</v>
      </c>
      <c r="AU70" s="23">
        <f t="shared" si="63"/>
        <v>240</v>
      </c>
      <c r="AV70" s="23">
        <f t="shared" si="64"/>
        <v>1.46</v>
      </c>
      <c r="AW70" s="23">
        <f t="shared" si="65"/>
        <v>1.51</v>
      </c>
      <c r="AX70" s="23">
        <f t="shared" si="66"/>
        <v>1.87</v>
      </c>
      <c r="AY70" s="23">
        <f t="shared" si="67"/>
        <v>45.1</v>
      </c>
      <c r="AZ70" s="23">
        <f>(AY70*1000)/((3.1415/6)*1000*('[1]PM number'!$F$16*0.000000001)^3*EXP(4.5*1.8^2))</f>
        <v>8.247049261125229E+17</v>
      </c>
    </row>
    <row r="71" spans="1:52" ht="25.5">
      <c r="A71" s="24" t="s">
        <v>241</v>
      </c>
      <c r="B71" s="25" t="s">
        <v>171</v>
      </c>
      <c r="C71" s="24" t="s">
        <v>242</v>
      </c>
      <c r="D71" s="24" t="s">
        <v>243</v>
      </c>
      <c r="E71" s="26">
        <v>727</v>
      </c>
      <c r="F71" s="26">
        <v>2</v>
      </c>
      <c r="G71" s="27">
        <v>7</v>
      </c>
      <c r="H71" s="28">
        <v>5</v>
      </c>
      <c r="I71" s="17">
        <f t="shared" si="42"/>
        <v>4.2</v>
      </c>
      <c r="J71" s="17">
        <f t="shared" si="43"/>
        <v>2</v>
      </c>
      <c r="K71" s="17">
        <f t="shared" si="44"/>
        <v>54.78</v>
      </c>
      <c r="L71" s="17">
        <f t="shared" si="45"/>
        <v>72.2</v>
      </c>
      <c r="M71" s="18">
        <f t="shared" si="46"/>
        <v>0.014145070026074548</v>
      </c>
      <c r="N71" s="17">
        <f t="shared" si="38"/>
        <v>0.118</v>
      </c>
      <c r="O71" s="17">
        <f>(N71*1000)/((3.1415/6)*1000*('[1]PM number'!C12*0.000000001)^3*EXP(4.5*1.8^2))</f>
        <v>13115735821957736</v>
      </c>
      <c r="P71" s="19">
        <v>78</v>
      </c>
      <c r="Q71" s="19">
        <v>3</v>
      </c>
      <c r="R71" s="20">
        <f t="shared" si="47"/>
        <v>7.9</v>
      </c>
      <c r="S71" s="20">
        <f t="shared" si="48"/>
        <v>7.7</v>
      </c>
      <c r="T71" s="20">
        <f t="shared" si="49"/>
        <v>4.05</v>
      </c>
      <c r="U71" s="20">
        <f t="shared" si="50"/>
        <v>5</v>
      </c>
      <c r="V71" s="20">
        <f t="shared" si="39"/>
        <v>0.224</v>
      </c>
      <c r="W71" s="17">
        <f>(V71*1000)/((3.1415/6)*1000*('[1]PM number'!$E$12*0.000000001)^3*EXP(4.5*1.8^2))</f>
        <v>4341097884711702</v>
      </c>
      <c r="X71">
        <f t="shared" si="51"/>
        <v>0.04414393542819164</v>
      </c>
      <c r="Y71" s="19">
        <v>38</v>
      </c>
      <c r="Z71" s="19">
        <v>5.5</v>
      </c>
      <c r="AA71" s="20">
        <f t="shared" si="52"/>
        <v>10</v>
      </c>
      <c r="AB71" s="20">
        <f t="shared" si="53"/>
        <v>5.1</v>
      </c>
      <c r="AC71" s="20">
        <f t="shared" si="54"/>
        <v>8.81</v>
      </c>
      <c r="AD71" s="20">
        <f t="shared" si="55"/>
        <v>11</v>
      </c>
      <c r="AE71" s="20">
        <f t="shared" si="40"/>
        <v>0.167</v>
      </c>
      <c r="AF71" s="17">
        <f>(AE71*1000)/((3.1415/6)*1000*('[1]PM number'!$D$12*0.000000001)^3*EXP(4.5*1.8^2))</f>
        <v>14333347513590406</v>
      </c>
      <c r="AG71" s="17">
        <f t="shared" si="56"/>
        <v>0.030175259419231062</v>
      </c>
      <c r="AH71" s="21">
        <f t="shared" si="34"/>
        <v>44.2</v>
      </c>
      <c r="AI71" s="21">
        <f t="shared" si="35"/>
        <v>240.5</v>
      </c>
      <c r="AJ71" s="21">
        <f t="shared" si="61"/>
        <v>700.3</v>
      </c>
      <c r="AK71" s="21">
        <f t="shared" si="36"/>
        <v>905.5</v>
      </c>
      <c r="AL71" s="21">
        <f t="shared" si="37"/>
        <v>7.9</v>
      </c>
      <c r="AM71" s="21">
        <f t="shared" si="62"/>
        <v>31790181220259844</v>
      </c>
      <c r="AN71" s="19">
        <v>1</v>
      </c>
      <c r="AO71" s="19">
        <v>65</v>
      </c>
      <c r="AP71" s="22">
        <f t="shared" si="57"/>
        <v>0.038985871803423035</v>
      </c>
      <c r="AQ71" s="22">
        <f t="shared" si="58"/>
        <v>7</v>
      </c>
      <c r="AR71" s="22">
        <f t="shared" si="59"/>
        <v>4.93</v>
      </c>
      <c r="AS71" s="22">
        <f t="shared" si="60"/>
        <v>6.1</v>
      </c>
      <c r="AT71" s="22">
        <f t="shared" si="41"/>
        <v>0.207</v>
      </c>
      <c r="AU71" s="23">
        <f t="shared" si="63"/>
        <v>280.7</v>
      </c>
      <c r="AV71" s="23">
        <f t="shared" si="64"/>
        <v>1.96</v>
      </c>
      <c r="AW71" s="23">
        <f t="shared" si="65"/>
        <v>1.38</v>
      </c>
      <c r="AX71" s="23">
        <f t="shared" si="66"/>
        <v>1.71</v>
      </c>
      <c r="AY71" s="23">
        <f t="shared" si="67"/>
        <v>58.1</v>
      </c>
      <c r="AZ71" s="23">
        <f>(AY71*1000)/((3.1415/6)*1000*('[1]PM number'!$F$16*0.000000001)^3*EXP(4.5*1.8^2))</f>
        <v>1.0624247496039375E+18</v>
      </c>
    </row>
    <row r="72" spans="1:52" ht="25.5">
      <c r="A72" s="24" t="s">
        <v>241</v>
      </c>
      <c r="B72" s="25" t="s">
        <v>234</v>
      </c>
      <c r="C72" s="24" t="s">
        <v>235</v>
      </c>
      <c r="D72" s="24" t="s">
        <v>244</v>
      </c>
      <c r="E72" s="46">
        <v>735</v>
      </c>
      <c r="F72" s="26">
        <v>2</v>
      </c>
      <c r="G72" s="27">
        <v>7</v>
      </c>
      <c r="H72" s="28">
        <v>5</v>
      </c>
      <c r="I72" s="17">
        <f t="shared" si="42"/>
        <v>4.3</v>
      </c>
      <c r="J72" s="17">
        <f t="shared" si="43"/>
        <v>2</v>
      </c>
      <c r="K72" s="17">
        <f t="shared" si="44"/>
        <v>54.14</v>
      </c>
      <c r="L72" s="17">
        <f t="shared" si="45"/>
        <v>71.3</v>
      </c>
      <c r="M72" s="18">
        <f t="shared" si="46"/>
        <v>0.014217510681192064</v>
      </c>
      <c r="N72" s="17">
        <f t="shared" si="38"/>
        <v>0.118</v>
      </c>
      <c r="O72" s="17">
        <f>(N72*1000)/((3.1415/6)*1000*('[1]PM number'!C12*0.000000001)^3*EXP(4.5*1.8^2))</f>
        <v>13115735821957736</v>
      </c>
      <c r="P72" s="19">
        <v>78</v>
      </c>
      <c r="Q72" s="19">
        <v>3</v>
      </c>
      <c r="R72" s="20">
        <f t="shared" si="47"/>
        <v>8</v>
      </c>
      <c r="S72" s="20">
        <f t="shared" si="48"/>
        <v>7.8</v>
      </c>
      <c r="T72" s="20">
        <f t="shared" si="49"/>
        <v>4.01</v>
      </c>
      <c r="U72" s="20">
        <f t="shared" si="50"/>
        <v>4.9</v>
      </c>
      <c r="V72" s="20">
        <f t="shared" si="39"/>
        <v>0.225</v>
      </c>
      <c r="W72" s="17">
        <f>(V72*1000)/((3.1415/6)*1000*('[1]PM number'!$E$12*0.000000001)^3*EXP(4.5*1.8^2))</f>
        <v>4360477785982736.5</v>
      </c>
      <c r="X72">
        <f t="shared" si="51"/>
        <v>0.04450351286574956</v>
      </c>
      <c r="Y72" s="19">
        <v>38</v>
      </c>
      <c r="Z72" s="19">
        <v>5.5</v>
      </c>
      <c r="AA72" s="20">
        <f t="shared" si="52"/>
        <v>10</v>
      </c>
      <c r="AB72" s="20">
        <f t="shared" si="53"/>
        <v>5.2</v>
      </c>
      <c r="AC72" s="20">
        <f t="shared" si="54"/>
        <v>8.71</v>
      </c>
      <c r="AD72" s="20">
        <f t="shared" si="55"/>
        <v>10.9</v>
      </c>
      <c r="AE72" s="20">
        <f t="shared" si="40"/>
        <v>0.168</v>
      </c>
      <c r="AF72" s="17">
        <f>(AE72*1000)/((3.1415/6)*1000*('[1]PM number'!$D$12*0.000000001)^3*EXP(4.5*1.8^2))</f>
        <v>14419175941815498</v>
      </c>
      <c r="AG72" s="17">
        <f t="shared" si="56"/>
        <v>0.030305217714421552</v>
      </c>
      <c r="AH72" s="21">
        <f t="shared" si="34"/>
        <v>44.6</v>
      </c>
      <c r="AI72" s="21">
        <f t="shared" si="35"/>
        <v>246</v>
      </c>
      <c r="AJ72" s="21">
        <f t="shared" si="61"/>
        <v>704</v>
      </c>
      <c r="AK72" s="21">
        <f t="shared" si="36"/>
        <v>909.6</v>
      </c>
      <c r="AL72" s="21">
        <f t="shared" si="37"/>
        <v>8</v>
      </c>
      <c r="AM72" s="21">
        <f t="shared" si="62"/>
        <v>31895389549755970</v>
      </c>
      <c r="AN72" s="19">
        <v>1</v>
      </c>
      <c r="AO72" s="19">
        <v>65</v>
      </c>
      <c r="AP72" s="22">
        <f t="shared" si="57"/>
        <v>0.03925308338673617</v>
      </c>
      <c r="AQ72" s="22">
        <f t="shared" si="58"/>
        <v>7</v>
      </c>
      <c r="AR72" s="22">
        <f t="shared" si="59"/>
        <v>4.88</v>
      </c>
      <c r="AS72" s="22">
        <f t="shared" si="60"/>
        <v>6</v>
      </c>
      <c r="AT72" s="22">
        <f t="shared" si="41"/>
        <v>0.208</v>
      </c>
      <c r="AU72" s="23">
        <f t="shared" si="63"/>
        <v>282.6</v>
      </c>
      <c r="AV72" s="23">
        <f t="shared" si="64"/>
        <v>1.98</v>
      </c>
      <c r="AW72" s="23">
        <f t="shared" si="65"/>
        <v>1.38</v>
      </c>
      <c r="AX72" s="23">
        <f t="shared" si="66"/>
        <v>1.7</v>
      </c>
      <c r="AY72" s="23">
        <f t="shared" si="67"/>
        <v>58.8</v>
      </c>
      <c r="AZ72" s="23">
        <f>(AY72*1000)/((3.1415/6)*1000*('[1]PM number'!$F$16*0.000000001)^3*EXP(4.5*1.8^2))</f>
        <v>1.0752250477919368E+18</v>
      </c>
    </row>
    <row r="73" spans="1:52" ht="25.5">
      <c r="A73" s="24" t="s">
        <v>245</v>
      </c>
      <c r="B73" s="25" t="s">
        <v>186</v>
      </c>
      <c r="C73" s="24" t="s">
        <v>212</v>
      </c>
      <c r="D73" s="24" t="s">
        <v>246</v>
      </c>
      <c r="E73" s="26">
        <v>981</v>
      </c>
      <c r="F73" s="26">
        <v>2</v>
      </c>
      <c r="G73" s="27">
        <v>7</v>
      </c>
      <c r="H73" s="28">
        <v>5</v>
      </c>
      <c r="I73" s="34">
        <f>ROUND((0.0216759549*(EXP(0.012261056*G73)))*(H73*60),1)</f>
        <v>7.1</v>
      </c>
      <c r="J73" s="34">
        <v>5.8</v>
      </c>
      <c r="K73" s="34">
        <v>23.77</v>
      </c>
      <c r="L73" s="34">
        <v>26.5</v>
      </c>
      <c r="M73" s="35">
        <v>0.0236</v>
      </c>
      <c r="N73" s="34">
        <f t="shared" si="38"/>
        <v>0.122</v>
      </c>
      <c r="O73" s="34">
        <f>(N73*1000)/((3.1415/6)*1000*('[1]PM number'!C12*0.000000001)^3*EXP(4.5*1.8^2))</f>
        <v>13560337036261388</v>
      </c>
      <c r="P73" s="19">
        <v>78</v>
      </c>
      <c r="Q73" s="19">
        <v>3</v>
      </c>
      <c r="R73" s="20">
        <f>ROUND((0.0216759549*(EXP(0.012261056*P73)))*(Q73*60),1)</f>
        <v>10.2</v>
      </c>
      <c r="S73" s="20">
        <v>10.9</v>
      </c>
      <c r="T73" s="20">
        <v>2.36</v>
      </c>
      <c r="U73" s="20">
        <v>1.25</v>
      </c>
      <c r="V73" s="20">
        <f t="shared" si="39"/>
        <v>0.259</v>
      </c>
      <c r="W73" s="34">
        <f>(V73*1000)/((3.1415/6)*1000*('[1]PM number'!$E12*0.000000001)^3*EXP(4.5*1.8^2))</f>
        <v>5019394429197906</v>
      </c>
      <c r="X73">
        <v>0.056</v>
      </c>
      <c r="Y73" s="19">
        <v>38</v>
      </c>
      <c r="Z73" s="19">
        <v>5.5</v>
      </c>
      <c r="AA73" s="20">
        <f>ROUND(0.0371*(Z73*60),1)</f>
        <v>12.2</v>
      </c>
      <c r="AB73" s="20">
        <v>7.6</v>
      </c>
      <c r="AC73" s="20">
        <v>8.67</v>
      </c>
      <c r="AD73" s="20">
        <v>6.97</v>
      </c>
      <c r="AE73" s="20">
        <f t="shared" si="40"/>
        <v>0.187</v>
      </c>
      <c r="AF73" s="34">
        <f>(AE73*1000)/((3.1415/6)*1000*('[1]PM number'!$D12*0.000000001)^3*EXP(4.5*1.8^2))</f>
        <v>16049916078092252</v>
      </c>
      <c r="AG73" s="34">
        <v>0.0345</v>
      </c>
      <c r="AH73" s="21">
        <f t="shared" si="34"/>
        <v>59</v>
      </c>
      <c r="AI73" s="21">
        <f t="shared" si="35"/>
        <v>490.2</v>
      </c>
      <c r="AJ73" s="21">
        <f t="shared" si="61"/>
        <v>597.2</v>
      </c>
      <c r="AK73" s="21">
        <f t="shared" si="36"/>
        <v>571.9</v>
      </c>
      <c r="AL73" s="21">
        <f t="shared" si="37"/>
        <v>11.6</v>
      </c>
      <c r="AM73" s="21">
        <f t="shared" si="62"/>
        <v>34629647543551548</v>
      </c>
      <c r="AN73" s="19">
        <v>1</v>
      </c>
      <c r="AO73" s="19">
        <v>65</v>
      </c>
      <c r="AP73" s="34">
        <f>ROUND((0.0216759549*(EXP(0.012261056*AO73))),2)</f>
        <v>0.05</v>
      </c>
      <c r="AQ73" s="34">
        <f t="shared" si="58"/>
        <v>8.3</v>
      </c>
      <c r="AR73" s="34">
        <f>ROUND(29.853252831*(EXP(-0.0325483525*AO73)),2)</f>
        <v>3.6</v>
      </c>
      <c r="AS73" s="34">
        <f>ROUND((35.7741831231*(EXP(-0.0430528409*AO73))),1)</f>
        <v>2.2</v>
      </c>
      <c r="AT73" s="34">
        <f t="shared" si="41"/>
        <v>0.237</v>
      </c>
      <c r="AU73" s="23">
        <f t="shared" si="63"/>
        <v>360</v>
      </c>
      <c r="AV73" s="23">
        <f t="shared" si="64"/>
        <v>2.99</v>
      </c>
      <c r="AW73" s="23">
        <f t="shared" si="65"/>
        <v>1.3</v>
      </c>
      <c r="AX73" s="23">
        <f t="shared" si="66"/>
        <v>0.79</v>
      </c>
      <c r="AY73" s="23">
        <f t="shared" si="67"/>
        <v>85.3</v>
      </c>
      <c r="AZ73" s="23">
        <f>(AY73*1000)/((3.1415/6)*1000*('[1]PM number'!$F$16*0.000000001)^3*EXP(4.5*1.8^2))</f>
        <v>1.5598077649090511E+18</v>
      </c>
    </row>
    <row r="74" spans="1:52" ht="25.5">
      <c r="A74" s="24" t="s">
        <v>97</v>
      </c>
      <c r="B74" s="25" t="s">
        <v>247</v>
      </c>
      <c r="C74" s="24" t="s">
        <v>248</v>
      </c>
      <c r="D74" s="24" t="s">
        <v>249</v>
      </c>
      <c r="E74" s="26">
        <v>900</v>
      </c>
      <c r="F74" s="26">
        <v>2</v>
      </c>
      <c r="G74" s="27">
        <v>7</v>
      </c>
      <c r="H74" s="28">
        <v>5</v>
      </c>
      <c r="I74" s="34">
        <f>ROUND((0.0234762913*(EXP(0.0112076998*G74)))*(H74*60),1)</f>
        <v>7.6</v>
      </c>
      <c r="J74" s="34">
        <v>4.9</v>
      </c>
      <c r="K74" s="34">
        <v>28.3</v>
      </c>
      <c r="L74" s="34">
        <v>35.9</v>
      </c>
      <c r="M74" s="35">
        <v>0.024</v>
      </c>
      <c r="N74" s="34">
        <f t="shared" si="38"/>
        <v>0.12</v>
      </c>
      <c r="O74" s="34">
        <f>(N74*1000)/((3.1415/6)*1000*('[1]PM number'!C12*0.000000001)^3*EXP(4.5*1.8^2))</f>
        <v>13338036429109562</v>
      </c>
      <c r="P74" s="19">
        <v>78</v>
      </c>
      <c r="Q74" s="19">
        <v>3</v>
      </c>
      <c r="R74" s="20">
        <f>ROUND((0.0234762913*(EXP(0.0112076998*P74)))*(Q74*60),1)</f>
        <v>10.1</v>
      </c>
      <c r="S74" s="20">
        <v>10.7</v>
      </c>
      <c r="T74" s="20">
        <v>2.9</v>
      </c>
      <c r="U74" s="20">
        <v>1.6</v>
      </c>
      <c r="V74" s="20">
        <f t="shared" si="39"/>
        <v>0.248</v>
      </c>
      <c r="W74" s="34">
        <f>(V74*1000)/((3.1415/6)*1000*('[1]PM number'!$E12*0.000000001)^3*EXP(4.5*1.8^2))</f>
        <v>4806215515216527</v>
      </c>
      <c r="X74">
        <v>0.054</v>
      </c>
      <c r="Y74" s="19">
        <v>38</v>
      </c>
      <c r="Z74" s="19">
        <v>5.5</v>
      </c>
      <c r="AA74" s="20">
        <f>ROUND(0.038*(Z74*60),1)</f>
        <v>12.5</v>
      </c>
      <c r="AB74" s="20">
        <v>7.4</v>
      </c>
      <c r="AC74" s="20">
        <v>10.5</v>
      </c>
      <c r="AD74" s="20">
        <v>9.1</v>
      </c>
      <c r="AE74" s="20">
        <f t="shared" si="40"/>
        <v>0.181</v>
      </c>
      <c r="AF74" s="34">
        <f>(AE74*1000)/((3.1415/6)*1000*('[1]PM number'!$D12*0.000000001)^3*EXP(4.5*1.8^2))</f>
        <v>15534945508741698</v>
      </c>
      <c r="AG74" s="34">
        <v>0.034</v>
      </c>
      <c r="AH74" s="21">
        <f t="shared" si="34"/>
        <v>60.4</v>
      </c>
      <c r="AI74" s="21">
        <f t="shared" si="35"/>
        <v>475.6</v>
      </c>
      <c r="AJ74" s="21">
        <f t="shared" si="61"/>
        <v>751.2</v>
      </c>
      <c r="AK74" s="21">
        <f t="shared" si="36"/>
        <v>805.5</v>
      </c>
      <c r="AL74" s="21">
        <f t="shared" si="37"/>
        <v>11.4</v>
      </c>
      <c r="AM74" s="21">
        <f t="shared" si="62"/>
        <v>33679197453067784</v>
      </c>
      <c r="AN74" s="19">
        <v>1</v>
      </c>
      <c r="AO74" s="19">
        <v>65</v>
      </c>
      <c r="AP74" s="34">
        <f>ROUND((0.0234762913*(EXP(0.0112076998*AO74))),2)</f>
        <v>0.05</v>
      </c>
      <c r="AQ74" s="34">
        <f t="shared" si="58"/>
        <v>7.9</v>
      </c>
      <c r="AR74" s="34">
        <f>ROUND(35.3375613359*(EXP(-0.0318730405*AO74)),2)</f>
        <v>4.45</v>
      </c>
      <c r="AS74" s="34">
        <f>ROUND((48.9437661861*(EXP(-0.0442810385*AO74))),1)</f>
        <v>2.8</v>
      </c>
      <c r="AT74" s="34">
        <f t="shared" si="41"/>
        <v>0.228</v>
      </c>
      <c r="AU74" s="23">
        <f t="shared" si="63"/>
        <v>360</v>
      </c>
      <c r="AV74" s="23">
        <f t="shared" si="64"/>
        <v>2.84</v>
      </c>
      <c r="AW74" s="23">
        <f t="shared" si="65"/>
        <v>1.6</v>
      </c>
      <c r="AX74" s="23">
        <f t="shared" si="66"/>
        <v>1.01</v>
      </c>
      <c r="AY74" s="23">
        <f t="shared" si="67"/>
        <v>82.1</v>
      </c>
      <c r="AZ74" s="23">
        <f>(AY74*1000)/((3.1415/6)*1000*('[1]PM number'!$F$16*0.000000001)^3*EXP(4.5*1.8^2))</f>
        <v>1.5012921160496259E+18</v>
      </c>
    </row>
    <row r="75" spans="1:52" ht="25.5">
      <c r="A75" s="24" t="s">
        <v>250</v>
      </c>
      <c r="B75" s="25" t="s">
        <v>247</v>
      </c>
      <c r="C75" s="24" t="s">
        <v>248</v>
      </c>
      <c r="D75" s="24" t="s">
        <v>251</v>
      </c>
      <c r="E75" s="26">
        <v>900</v>
      </c>
      <c r="F75" s="26">
        <v>2</v>
      </c>
      <c r="G75" s="27">
        <v>7</v>
      </c>
      <c r="H75" s="28">
        <v>5</v>
      </c>
      <c r="I75" s="34">
        <f>ROUND(M75*300,1)</f>
        <v>4.7</v>
      </c>
      <c r="J75" s="34">
        <f>ROUND(0.2113*((G75/100)*E75)^0.5677,1)</f>
        <v>2.2</v>
      </c>
      <c r="K75" s="34">
        <f>ROUND(3819*((G75/100)*E75)^(-1.0801),2)</f>
        <v>43.5</v>
      </c>
      <c r="L75" s="34">
        <f>ROUND(5660*((G75/100)*E75)^-1.11,1)</f>
        <v>57</v>
      </c>
      <c r="M75" s="35">
        <f>IF($E75&gt;1000,4.0539*10^(-18)*((G75/100)*E75)^5-3.16298*10^(-14)*((G75/100)*E75)^4+9.2087*10^(-11)*((G75/100)*E75)^3-1.2156*10^(-7)*((G75/100)*E75)^2+1.1476*10^(-4)*((G75/100)*E75)+0.01256,IF($E75&gt;600,3.3158*10^(-16)*((G75/100)*E75)^5-1.0175*10^(-12)*((G75/100)*E75)^4+1.1627*10^(-9)*((G75/100)*E75)^3-5.9528*10^(-7)*((G75/100)*E75)^2+1.8168*10^(-4)*((G75/100)*E75)+0.0062945,2.197*10^(-15)*((G75/100)*E75)^5-4.4441*10^(-12)*((G75/100)*E75)^4+3.4208*10^(-9)*((G75/100)*E75)^3-1.2138*10^(-6)*((G75/100)*E75)^2+2.414*10^(-4)*((G75/100)*E75)+0.004583))</f>
        <v>0.01565270376119143</v>
      </c>
      <c r="N75" s="34">
        <f t="shared" si="38"/>
        <v>0.12</v>
      </c>
      <c r="O75" s="34">
        <f>(N75*1000)/((3.1415/6)*1000*('[1]PM number'!C12*0.000000001)^3*EXP(4.5*1.8^2))</f>
        <v>13338036429109562</v>
      </c>
      <c r="P75" s="19">
        <v>78</v>
      </c>
      <c r="Q75" s="19">
        <v>3</v>
      </c>
      <c r="R75" s="20">
        <f>ROUND(X75*(Q75*60),1)</f>
        <v>9.4</v>
      </c>
      <c r="S75" s="20">
        <f>ROUND(0.2113*((P75/100)*E75)^0.5677,1)</f>
        <v>8.7</v>
      </c>
      <c r="T75" s="20">
        <f>ROUND(3819*((P75/100)*E75)^(-1.0801),2)</f>
        <v>3.22</v>
      </c>
      <c r="U75" s="20">
        <f>ROUND(5660*((P75/100)*E75)^-1.11,1)</f>
        <v>3.9</v>
      </c>
      <c r="V75" s="20">
        <f t="shared" si="39"/>
        <v>0.248</v>
      </c>
      <c r="W75" s="34">
        <f>(V75*1000)/((3.1415/6)*1000*('[1]PM number'!$E$12*0.000000001)^3*EXP(4.5*1.8^2))</f>
        <v>4806215515216527</v>
      </c>
      <c r="X75">
        <f>IF($E75&gt;1000,4.0539*10^(-18)*((P75/100)*E75)^5-3.16298*10^(-14)*((P75/100)*E75)^4+9.2087*10^(-11)*((P75/100)*E75)^3-1.2156*10^(-7)*((P75/100)*E75)^2+1.1476*10^(-4)*((P75/100)*E75)+0.01256,IF($E75&gt;600,3.3158*10^(-16)*((P75/100)*E75)^5-1.0175*10^(-12)*((P75/100)*E75)^4+1.1627*10^(-9)*((P75/100)*E75)^3-5.9528*10^(-7)*((P75/100)*E75)^2+1.8168*10^(-4)*((P75/100)*E75)+0.0062945,2.197*10^(-15)*((P75/100)*E75)^5-4.4441*10^(-12)*((P75/100)*E75)^4+3.4208*10^(-9)*((P75/100)*E75)^3-1.2138*10^(-6)*((P75/100)*E75)^2+2.414*10^(-4)*((P75/100)*E75)+0.004583))</f>
        <v>0.052135286727435164</v>
      </c>
      <c r="Y75" s="19">
        <v>38</v>
      </c>
      <c r="Z75" s="19">
        <v>5.5</v>
      </c>
      <c r="AA75" s="20">
        <f>ROUND(AG75*(Z75*60),1)</f>
        <v>10.9</v>
      </c>
      <c r="AB75" s="20">
        <f>ROUND(0.2113*((Y75/100)*E75)^0.5677,1)</f>
        <v>5.8</v>
      </c>
      <c r="AC75" s="20">
        <f>ROUND(3819*((Y75/100)*E75)^(-1.0801),2)</f>
        <v>7</v>
      </c>
      <c r="AD75" s="20">
        <f>ROUND(5660*((Y75/100)*E75)^-1.11,1)</f>
        <v>8.7</v>
      </c>
      <c r="AE75" s="20">
        <f t="shared" si="40"/>
        <v>0.181</v>
      </c>
      <c r="AF75" s="34">
        <f>(AE75*1000)/((3.1415/6)*1000*('[1]PM number'!$D$12*0.000000001)^3*EXP(4.5*1.8^2))</f>
        <v>15534945508741698</v>
      </c>
      <c r="AG75" s="34">
        <f>IF($E75&gt;1000,4.0539*10^(-18)*((Y75/100)*E75)^5-3.16298*10^(-14)*((Y75/100)*E75)^4+9.2087*10^(-11)*((Y75/100)*E75)^3-1.2156*10^(-7)*((Y75/100)*E75)^2+1.1476*10^(-4)*((Y75/100)*E75)+0.01256,IF($E75&gt;600,3.3158*10^(-16)*((Y75/100)*E75)^5-1.0175*10^(-12)*((Y75/100)*E75)^4+1.1627*10^(-9)*((Y75/100)*E75)^3-5.9528*10^(-7)*((Y75/100)*E75)^2+1.8168*10^(-4)*((Y75/100)*E75)+0.0062945,2.197*10^(-15)*((Y75/100)*E75)^5-4.4441*10^(-12)*((Y75/100)*E75)^4+3.4208*10^(-9)*((Y75/100)*E75)^3-1.2138*10^(-6)*((Y75/100)*E75)^2+2.414*10^(-4)*((Y75/100)*E75)+0.004583))</f>
        <v>0.03294408770929424</v>
      </c>
      <c r="AH75" s="21">
        <f t="shared" si="34"/>
        <v>50</v>
      </c>
      <c r="AI75" s="21">
        <f t="shared" si="35"/>
        <v>310.7</v>
      </c>
      <c r="AJ75" s="21">
        <f t="shared" si="61"/>
        <v>622</v>
      </c>
      <c r="AK75" s="21">
        <f t="shared" si="36"/>
        <v>798.8</v>
      </c>
      <c r="AL75" s="21">
        <f t="shared" si="37"/>
        <v>9.7</v>
      </c>
      <c r="AM75" s="21">
        <f t="shared" si="62"/>
        <v>33679197453067784</v>
      </c>
      <c r="AN75" s="19">
        <v>1</v>
      </c>
      <c r="AO75" s="19">
        <v>65</v>
      </c>
      <c r="AP75" s="34">
        <f>IF($E75&gt;1000,4.0539*10^(-18)*((AO75/100)*E75)^5-3.16298*10^(-14)*((AO75/100)*E75)^4+9.2087*10^(-11)*((AO75/100)*E75)^3-1.2156*10^(-7)*((AO75/100)*E75)^2+1.1476*10^(-4)*((AO75/100)*E75)+0.01256,IF($E75&gt;600,3.3158*10^(-16)*((AO75/100)*E75)^5-1.0175*10^(-12)*((AO75/100)*E75)^4+1.1627*10^(-9)*((AO75/100)*E75)^3-5.9528*10^(-7)*((AO75/100)*E75)^2+1.8168*10^(-4)*((AO75/100)*E75)+0.0062945,2.197*10^(-15)*((AO75/100)*E75)^5-4.4441*10^(-12)*((AO75/100)*E75)^4+3.4208*10^(-9)*((AO75/100)*E75)^3-1.2138*10^(-6)*((AO75/100)*E75)^2+2.414*10^(-4)*((AO75/100)*E75)+0.004583))</f>
        <v>0.0451823891164815</v>
      </c>
      <c r="AQ75" s="34">
        <f t="shared" si="58"/>
        <v>7.9</v>
      </c>
      <c r="AR75" s="34">
        <f>ROUND(3819*((AO75/100)*E75)^(-1.0801),2)</f>
        <v>3.92</v>
      </c>
      <c r="AS75" s="34">
        <f>ROUND(5660*((AO75/100)*E75)^-1.11,1)</f>
        <v>4.8</v>
      </c>
      <c r="AT75" s="34">
        <f t="shared" si="41"/>
        <v>0.228</v>
      </c>
      <c r="AU75" s="23">
        <f t="shared" si="63"/>
        <v>325.3</v>
      </c>
      <c r="AV75" s="23">
        <f t="shared" si="64"/>
        <v>2.57</v>
      </c>
      <c r="AW75" s="23">
        <f t="shared" si="65"/>
        <v>1.28</v>
      </c>
      <c r="AX75" s="23">
        <f t="shared" si="66"/>
        <v>1.56</v>
      </c>
      <c r="AY75" s="23">
        <f t="shared" si="67"/>
        <v>74.2</v>
      </c>
      <c r="AZ75" s="23">
        <f>(AY75*1000)/((3.1415/6)*1000*('[1]PM number'!$F$16*0.000000001)^3*EXP(4.5*1.8^2))</f>
        <v>1.35683160792792E+18</v>
      </c>
    </row>
    <row r="76" spans="1:52" ht="12.75">
      <c r="A76" s="24" t="s">
        <v>252</v>
      </c>
      <c r="B76" s="25" t="s">
        <v>206</v>
      </c>
      <c r="C76" s="24" t="s">
        <v>207</v>
      </c>
      <c r="D76" s="24" t="s">
        <v>253</v>
      </c>
      <c r="E76" s="26">
        <v>621</v>
      </c>
      <c r="F76" s="26">
        <v>2</v>
      </c>
      <c r="G76" s="27">
        <v>7</v>
      </c>
      <c r="H76" s="28">
        <v>5</v>
      </c>
      <c r="I76" s="34">
        <f>ROUND((0.000000387*(G76^2)+0.000259*G76+0.01232)*(H76*60),2)</f>
        <v>4.25</v>
      </c>
      <c r="J76" s="34">
        <f>ROUND(-0.000314*(G76^2)+0.087336*G76+0.481074,2)</f>
        <v>1.08</v>
      </c>
      <c r="K76" s="34">
        <f>ROUND(61.8750950264*(EXP(-0.0383444169*G76)),2)</f>
        <v>47.31</v>
      </c>
      <c r="L76" s="34">
        <f>ROUND((80.9511089115*(EXP(-0.0257795236*G76))),1)</f>
        <v>67.6</v>
      </c>
      <c r="M76" s="35">
        <f>0.000000387*(G76^2)+0.000259*G76+0.01232</f>
        <v>0.014151963</v>
      </c>
      <c r="N76" s="34">
        <f t="shared" si="38"/>
        <v>0.116</v>
      </c>
      <c r="O76" s="34">
        <f>(N76*1000)/((3.1415/6)*1000*('[1]PM number'!C12*0.000000001)^3*EXP(4.5*1.8^2))</f>
        <v>12893435214805910</v>
      </c>
      <c r="P76" s="19">
        <v>78</v>
      </c>
      <c r="Q76" s="19">
        <v>3</v>
      </c>
      <c r="R76" s="20">
        <f>ROUND(X76*(Q76*60),2)</f>
        <v>6.28</v>
      </c>
      <c r="S76" s="20">
        <f>ROUND(-0.000314*(P76^2)+0.087336*P76+0.481074,2)</f>
        <v>5.38</v>
      </c>
      <c r="T76" s="20">
        <v>1.8</v>
      </c>
      <c r="U76" s="20">
        <f>ROUND((80.9511089115*(EXP(-0.0257795236*P76))),1)</f>
        <v>10.8</v>
      </c>
      <c r="V76" s="20">
        <f t="shared" si="39"/>
        <v>0.209</v>
      </c>
      <c r="W76" s="34">
        <f>(V76*1000)/((3.1415/6)*1000*('[1]PM number'!$E$12*0.000000001)^3*EXP(4.5*1.8^2))</f>
        <v>4050399365646186.5</v>
      </c>
      <c r="X76">
        <f>0.000000387*(P76^2)+0.000259*P76+0.01232</f>
        <v>0.034876508</v>
      </c>
      <c r="Y76" s="19">
        <v>38</v>
      </c>
      <c r="Z76" s="19">
        <v>5.5</v>
      </c>
      <c r="AA76" s="20">
        <f>ROUND(0.0227*(Z76*60),2)</f>
        <v>7.49</v>
      </c>
      <c r="AB76" s="20">
        <v>3.4</v>
      </c>
      <c r="AC76" s="20">
        <v>10.2</v>
      </c>
      <c r="AD76" s="20">
        <v>29.9</v>
      </c>
      <c r="AE76" s="20">
        <f t="shared" si="40"/>
        <v>0.159</v>
      </c>
      <c r="AF76" s="34">
        <f>(AE76*1000)/((3.1415/6)*1000*('[1]PM number'!$D$12*0.000000001)^3*EXP(4.5*1.8^2))</f>
        <v>13646720087789668</v>
      </c>
      <c r="AG76" s="34">
        <v>0.0227</v>
      </c>
      <c r="AH76" s="21">
        <f aca="true" t="shared" si="68" ref="AH76:AH139">ROUND((I76+R76+AA76)*F76,1)</f>
        <v>36</v>
      </c>
      <c r="AI76" s="21">
        <f aca="true" t="shared" si="69" ref="AI76:AI139">ROUND((J76*I76+S76*R76+AB76*AA76)*F76,1)</f>
        <v>127.7</v>
      </c>
      <c r="AJ76" s="21">
        <f t="shared" si="61"/>
        <v>577.5</v>
      </c>
      <c r="AK76" s="21">
        <f aca="true" t="shared" si="70" ref="AK76:AK139">ROUND((I76*L76+R76*U76+AA76*AD76)*F76,1)</f>
        <v>1158.2</v>
      </c>
      <c r="AL76" s="21">
        <f aca="true" t="shared" si="71" ref="AL76:AL139">ROUND((N76*I76+V76*R76+AE76*AA76)*F76,1)</f>
        <v>6</v>
      </c>
      <c r="AM76" s="21">
        <f t="shared" si="62"/>
        <v>30590554668241764</v>
      </c>
      <c r="AN76" s="19">
        <v>1</v>
      </c>
      <c r="AO76" s="19">
        <v>65</v>
      </c>
      <c r="AP76" s="34">
        <f>ROUND(0.000000387*(AO76^2)+0.000259*AO76+0.01232,3)</f>
        <v>0.031</v>
      </c>
      <c r="AQ76" s="34">
        <f>ROUND(-0.000314*(AO76^2)+0.087336*AO76+0.481074,2)</f>
        <v>4.83</v>
      </c>
      <c r="AR76" s="34">
        <f>ROUND(69.473039*(EXP(-0.044304*AO76)),2)</f>
        <v>3.9</v>
      </c>
      <c r="AS76" s="34">
        <f>ROUND((80.9511089115*(EXP(-0.0257795236*AO76))),1)</f>
        <v>15.2</v>
      </c>
      <c r="AT76" s="34">
        <f t="shared" si="41"/>
        <v>0.193</v>
      </c>
      <c r="AU76" s="23">
        <f t="shared" si="63"/>
        <v>223.2</v>
      </c>
      <c r="AV76" s="23">
        <f t="shared" si="64"/>
        <v>1.08</v>
      </c>
      <c r="AW76" s="23">
        <f t="shared" si="65"/>
        <v>0.87</v>
      </c>
      <c r="AX76" s="23">
        <f t="shared" si="66"/>
        <v>3.39</v>
      </c>
      <c r="AY76" s="23">
        <f t="shared" si="67"/>
        <v>43.1</v>
      </c>
      <c r="AZ76" s="23">
        <f>(AY76*1000)/((3.1415/6)*1000*('[1]PM number'!$F$16*0.000000001)^3*EXP(4.5*1.8^2))</f>
        <v>7.881326455753823E+17</v>
      </c>
    </row>
    <row r="77" spans="1:52" ht="25.5">
      <c r="A77" s="24" t="s">
        <v>254</v>
      </c>
      <c r="B77" s="25" t="s">
        <v>146</v>
      </c>
      <c r="C77" s="24" t="s">
        <v>255</v>
      </c>
      <c r="D77" s="24" t="s">
        <v>256</v>
      </c>
      <c r="E77" s="26">
        <v>550</v>
      </c>
      <c r="F77" s="26">
        <v>2</v>
      </c>
      <c r="G77" s="27">
        <v>7</v>
      </c>
      <c r="H77" s="28">
        <v>5</v>
      </c>
      <c r="I77" s="34">
        <f>ROUND((0.0143680743*(EXP(0.0099427334*G77)))*(H77*60),1)</f>
        <v>4.6</v>
      </c>
      <c r="J77" s="34">
        <v>3.4</v>
      </c>
      <c r="K77" s="34">
        <v>47.3</v>
      </c>
      <c r="L77" s="34">
        <v>63.7</v>
      </c>
      <c r="M77" s="35">
        <v>0.0139</v>
      </c>
      <c r="N77" s="34">
        <f aca="true" t="shared" si="72" ref="N77:N129">ROUND((-0.000006*((G77/100)*E77)^2+0.02958*((G77/100)*E77)+13.2)*8/1000,3)</f>
        <v>0.115</v>
      </c>
      <c r="O77" s="34">
        <f>(N77*1000)/((3.1415/6)*1000*('[1]PM number'!C12*0.000000001)^3*EXP(4.5*1.8^2))</f>
        <v>12782284911229998</v>
      </c>
      <c r="P77" s="19">
        <v>78</v>
      </c>
      <c r="Q77" s="19">
        <v>3</v>
      </c>
      <c r="R77" s="20">
        <f>ROUND((0.0143680743*(EXP(0.0099427334*P77)))*(Q77*60),1)</f>
        <v>5.6</v>
      </c>
      <c r="S77" s="20">
        <v>5.7</v>
      </c>
      <c r="T77" s="20">
        <v>3.1</v>
      </c>
      <c r="U77" s="20">
        <v>14.6</v>
      </c>
      <c r="V77" s="20">
        <f aca="true" t="shared" si="73" ref="V77:V129">ROUND((-0.000006*((P77/100)*E77)^2+0.02958*((P77/100)*E77)+13.2)*8/1000,3)</f>
        <v>0.198</v>
      </c>
      <c r="W77" s="34">
        <f>(V77*1000)/((3.1415/6)*1000*('[1]PM number'!$E$12*0.000000001)^3*EXP(4.5*1.8^2))</f>
        <v>3837220451664808</v>
      </c>
      <c r="X77">
        <v>0.0352</v>
      </c>
      <c r="Y77" s="19">
        <v>38</v>
      </c>
      <c r="Z77" s="19">
        <v>5.5</v>
      </c>
      <c r="AA77" s="20">
        <f>ROUND(0.0215*(Z77*60),1)</f>
        <v>7.1</v>
      </c>
      <c r="AB77" s="20">
        <v>4.4</v>
      </c>
      <c r="AC77" s="20">
        <v>14.4</v>
      </c>
      <c r="AD77" s="20">
        <v>33.5</v>
      </c>
      <c r="AE77" s="20">
        <f aca="true" t="shared" si="74" ref="AE77:AE129">ROUND((-0.000006*((Y77/100)*E77)^2+0.02958*((Y77/100)*E77)+13.2)*8/1000,3)</f>
        <v>0.153</v>
      </c>
      <c r="AF77" s="34">
        <f>(AE77*1000)/((3.1415/6)*1000*('[1]PM number'!$D$12*0.000000001)^3*EXP(4.5*1.8^2))</f>
        <v>13131749518439114</v>
      </c>
      <c r="AG77" s="34">
        <v>0.0232</v>
      </c>
      <c r="AH77" s="21">
        <f t="shared" si="68"/>
        <v>34.6</v>
      </c>
      <c r="AI77" s="21">
        <f t="shared" si="69"/>
        <v>157.6</v>
      </c>
      <c r="AJ77" s="21">
        <f t="shared" si="61"/>
        <v>674.4</v>
      </c>
      <c r="AK77" s="21">
        <f t="shared" si="70"/>
        <v>1225.3</v>
      </c>
      <c r="AL77" s="21">
        <f t="shared" si="71"/>
        <v>5.4</v>
      </c>
      <c r="AM77" s="21">
        <f t="shared" si="62"/>
        <v>29751254881333920</v>
      </c>
      <c r="AN77" s="19">
        <v>0.9</v>
      </c>
      <c r="AO77" s="19">
        <v>65</v>
      </c>
      <c r="AP77" s="34">
        <f>ROUND((0.0143680743*(EXP(0.0099427334*AO77))),2)</f>
        <v>0.03</v>
      </c>
      <c r="AQ77" s="34">
        <f>ROUND((3.3730868664*(EXP(0.0066062442*AO77))),1)</f>
        <v>5.2</v>
      </c>
      <c r="AR77" s="34">
        <f>ROUND(61.8750950264*(EXP(-0.0383444169*AO76)),2)</f>
        <v>5.12</v>
      </c>
      <c r="AS77" s="34">
        <f>ROUND((73.5786797393*(EXP(-0.0207003371*AO77))),1)</f>
        <v>19.2</v>
      </c>
      <c r="AT77" s="34">
        <f aca="true" t="shared" si="75" ref="AT77:AT129">ROUND((-0.000006*((AO77/100)*E77)^2+0.02958*((AO77/100)*E77)+13.2)*8/1000,3)</f>
        <v>0.184</v>
      </c>
      <c r="AU77" s="23">
        <f t="shared" si="63"/>
        <v>194.4</v>
      </c>
      <c r="AV77" s="23">
        <f t="shared" si="64"/>
        <v>1.01</v>
      </c>
      <c r="AW77" s="23">
        <f t="shared" si="65"/>
        <v>1</v>
      </c>
      <c r="AX77" s="23">
        <f t="shared" si="66"/>
        <v>3.73</v>
      </c>
      <c r="AY77" s="23">
        <f t="shared" si="67"/>
        <v>35.8</v>
      </c>
      <c r="AZ77" s="23">
        <f>(AY77*1000)/((3.1415/6)*1000*('[1]PM number'!$F$16*0.000000001)^3*EXP(4.5*1.8^2))</f>
        <v>6.546438216148187E+17</v>
      </c>
    </row>
    <row r="78" spans="1:52" ht="25.5">
      <c r="A78" s="24" t="s">
        <v>257</v>
      </c>
      <c r="B78" s="25" t="s">
        <v>146</v>
      </c>
      <c r="C78" s="24" t="s">
        <v>225</v>
      </c>
      <c r="D78" s="24" t="s">
        <v>258</v>
      </c>
      <c r="E78" s="26">
        <v>650</v>
      </c>
      <c r="F78" s="26">
        <v>2</v>
      </c>
      <c r="G78" s="27">
        <v>7</v>
      </c>
      <c r="H78" s="28">
        <v>5</v>
      </c>
      <c r="I78" s="17">
        <f aca="true" t="shared" si="76" ref="I78:I121">ROUND(M78*300,1)</f>
        <v>4</v>
      </c>
      <c r="J78" s="17">
        <f aca="true" t="shared" si="77" ref="J78:J121">ROUND(0.2113*((G78/100)*E78)^0.5677,1)</f>
        <v>1.8</v>
      </c>
      <c r="K78" s="17">
        <f aca="true" t="shared" si="78" ref="K78:K121">ROUND(3819*((G78/100)*E78)^(-1.0801),2)</f>
        <v>61.82</v>
      </c>
      <c r="L78" s="17">
        <f aca="true" t="shared" si="79" ref="L78:L121">ROUND(5660*((G78/100)*E78)^-1.11,1)</f>
        <v>81.7</v>
      </c>
      <c r="M78" s="18">
        <f aca="true" t="shared" si="80" ref="M78:M121">IF($E78&gt;1000,4.0539*10^(-18)*((G78/100)*E78)^5-3.16298*10^(-14)*((G78/100)*E78)^4+9.2087*10^(-11)*((G78/100)*E78)^3-1.2156*10^(-7)*((G78/100)*E78)^2+1.1476*10^(-4)*((G78/100)*E78)+0.01256,IF($E78&gt;600,3.3158*10^(-16)*((G78/100)*E78)^5-1.0175*10^(-12)*((G78/100)*E78)^4+1.1627*10^(-9)*((G78/100)*E78)^3-5.9528*10^(-7)*((G78/100)*E78)^2+1.8168*10^(-4)*((G78/100)*E78)+0.0062945,2.197*10^(-15)*((G78/100)*E78)^5-4.4441*10^(-12)*((G78/100)*E78)^4+3.4208*10^(-9)*((G78/100)*E78)^3-1.2138*10^(-6)*((G78/100)*E78)^2+2.414*10^(-4)*((G78/100)*E78)+0.004583))</f>
        <v>0.013433787427717243</v>
      </c>
      <c r="N78" s="17">
        <f t="shared" si="72"/>
        <v>0.116</v>
      </c>
      <c r="O78" s="17">
        <f>(N78*1000)/((3.1415/6)*1000*('[1]PM number'!C12*0.000000001)^3*EXP(4.5*1.8^2))</f>
        <v>12893435214805910</v>
      </c>
      <c r="P78" s="19">
        <v>78</v>
      </c>
      <c r="Q78" s="19">
        <v>3</v>
      </c>
      <c r="R78" s="20">
        <f aca="true" t="shared" si="81" ref="R78:R121">ROUND(X78*(Q78*60),1)</f>
        <v>7.3</v>
      </c>
      <c r="S78" s="20">
        <f aca="true" t="shared" si="82" ref="S78:S121">ROUND(0.2113*((P78/100)*E78)^0.5677,1)</f>
        <v>7.3</v>
      </c>
      <c r="T78" s="20">
        <f aca="true" t="shared" si="83" ref="T78:T121">ROUND(3819*((P78/100)*E78)^(-1.0801),2)</f>
        <v>4.57</v>
      </c>
      <c r="U78" s="20">
        <f aca="true" t="shared" si="84" ref="U78:U121">ROUND(5660*((P78/100)*E78)^-1.11,1)</f>
        <v>5.6</v>
      </c>
      <c r="V78" s="20">
        <f t="shared" si="73"/>
        <v>0.213</v>
      </c>
      <c r="W78" s="17">
        <f>(V78*1000)/((3.1415/6)*1000*('[1]PM number'!$E$12*0.000000001)^3*EXP(4.5*1.8^2))</f>
        <v>4127918970730324</v>
      </c>
      <c r="X78">
        <f aca="true" t="shared" si="85" ref="X78:X121">IF($E78&gt;1000,4.0539*10^(-18)*((P78/100)*E78)^5-3.16298*10^(-14)*((P78/100)*E78)^4+9.2087*10^(-11)*((P78/100)*E78)^3-1.2156*10^(-7)*((P78/100)*E78)^2+1.1476*10^(-4)*((P78/100)*E78)+0.01256,IF($E78&gt;600,3.3158*10^(-16)*((P78/100)*E78)^5-1.0175*10^(-12)*((P78/100)*E78)^4+1.1627*10^(-9)*((P78/100)*E78)^3-5.9528*10^(-7)*((P78/100)*E78)^2+1.8168*10^(-4)*((P78/100)*E78)+0.0062945,2.197*10^(-15)*((P78/100)*E78)^5-4.4441*10^(-12)*((P78/100)*E78)^4+3.4208*10^(-9)*((P78/100)*E78)^3-1.2138*10^(-6)*((P78/100)*E78)^2+2.414*10^(-4)*((P78/100)*E78)+0.004583))</f>
        <v>0.040794978688814355</v>
      </c>
      <c r="Y78" s="19">
        <v>38</v>
      </c>
      <c r="Z78" s="19">
        <v>5.5</v>
      </c>
      <c r="AA78" s="20">
        <f aca="true" t="shared" si="86" ref="AA78:AA121">ROUND(AG78*(Z78*60),1)</f>
        <v>9.5</v>
      </c>
      <c r="AB78" s="20">
        <f aca="true" t="shared" si="87" ref="AB78:AB121">ROUND(0.2113*((Y78/100)*E78)^0.5677,1)</f>
        <v>4.8</v>
      </c>
      <c r="AC78" s="20">
        <f aca="true" t="shared" si="88" ref="AC78:AC121">ROUND(3819*((Y78/100)*E78)^(-1.0801),2)</f>
        <v>9.94</v>
      </c>
      <c r="AD78" s="20">
        <f aca="true" t="shared" si="89" ref="AD78:AD121">ROUND(5660*((Y78/100)*E78)^-1.11,1)</f>
        <v>12.5</v>
      </c>
      <c r="AE78" s="20">
        <f t="shared" si="74"/>
        <v>0.161</v>
      </c>
      <c r="AF78" s="17">
        <f>(AE78*1000)/((3.1415/6)*1000*('[1]PM number'!$D$12*0.000000001)^3*EXP(4.5*1.8^2))</f>
        <v>13818376944239852</v>
      </c>
      <c r="AG78" s="17">
        <f aca="true" t="shared" si="90" ref="AG78:AG121">IF($E78&gt;1000,4.0539*10^(-18)*((Y78/100)*E78)^5-3.16298*10^(-14)*((Y78/100)*E78)^4+9.2087*10^(-11)*((Y78/100)*E78)^3-1.2156*10^(-7)*((Y78/100)*E78)^2+1.1476*10^(-4)*((Y78/100)*E78)+0.01256,IF($E78&gt;600,3.3158*10^(-16)*((Y78/100)*E78)^5-1.0175*10^(-12)*((Y78/100)*E78)^4+1.1627*10^(-9)*((Y78/100)*E78)^3-5.9528*10^(-7)*((Y78/100)*E78)^2+1.8168*10^(-4)*((Y78/100)*E78)+0.0062945,2.197*10^(-15)*((Y78/100)*E78)^5-4.4441*10^(-12)*((Y78/100)*E78)^4+3.4208*10^(-9)*((Y78/100)*E78)^3-1.2138*10^(-6)*((Y78/100)*E78)^2+2.414*10^(-4)*((Y78/100)*E78)+0.004583))</f>
        <v>0.028890614065261916</v>
      </c>
      <c r="AH78" s="21">
        <f t="shared" si="68"/>
        <v>41.6</v>
      </c>
      <c r="AI78" s="21">
        <f t="shared" si="69"/>
        <v>212.2</v>
      </c>
      <c r="AJ78" s="21">
        <f t="shared" si="61"/>
        <v>750.1</v>
      </c>
      <c r="AK78" s="21">
        <f t="shared" si="70"/>
        <v>972.9</v>
      </c>
      <c r="AL78" s="21">
        <f t="shared" si="71"/>
        <v>7.1</v>
      </c>
      <c r="AM78" s="21">
        <f t="shared" si="62"/>
        <v>30839731129776090</v>
      </c>
      <c r="AN78" s="19">
        <v>0.9</v>
      </c>
      <c r="AO78" s="19">
        <v>65</v>
      </c>
      <c r="AP78" s="34">
        <f aca="true" t="shared" si="91" ref="AP78:AP121">IF($E78&gt;1000,4.0539*10^(-18)*((AO78/100)*E78)^5-3.16298*10^(-14)*((AO78/100)*E78)^4+9.2087*10^(-11)*((AO78/100)*E78)^3-1.2156*10^(-7)*((AO78/100)*E78)^2+1.1476*10^(-4)*((AO78/100)*E78)+0.01256,IF($E78&gt;600,3.3158*10^(-16)*((AO78/100)*E78)^5-1.0175*10^(-12)*((AO78/100)*E78)^4+1.1627*10^(-9)*((AO78/100)*E78)^3-5.9528*10^(-7)*((AO78/100)*E78)^2+1.8168*10^(-4)*((AO78/100)*E78)+0.0062945,2.197*10^(-15)*((AO78/100)*E78)^5-4.4441*10^(-12)*((AO78/100)*E78)^4+3.4208*10^(-9)*((AO78/100)*E78)^3-1.2138*10^(-6)*((AO78/100)*E78)^2+2.414*10^(-4)*((AO78/100)*E78)+0.004583))</f>
        <v>0.03652451035627848</v>
      </c>
      <c r="AQ78" s="34">
        <f aca="true" t="shared" si="92" ref="AQ78:AQ121">ROUND(0.2113*((AO78/100)*E78)^0.5677,1)</f>
        <v>6.5</v>
      </c>
      <c r="AR78" s="34">
        <f aca="true" t="shared" si="93" ref="AR78:AR121">ROUND(3819*((AO78/100)*E78)^(-1.0801),2)</f>
        <v>5.57</v>
      </c>
      <c r="AS78" s="34">
        <f aca="true" t="shared" si="94" ref="AS78:AS121">ROUND(5660*((AO78/100)*E78)^-1.11,1)</f>
        <v>6.9</v>
      </c>
      <c r="AT78" s="34">
        <f t="shared" si="75"/>
        <v>0.197</v>
      </c>
      <c r="AU78" s="23">
        <f t="shared" si="63"/>
        <v>236.7</v>
      </c>
      <c r="AV78" s="23">
        <f t="shared" si="64"/>
        <v>1.54</v>
      </c>
      <c r="AW78" s="23">
        <f t="shared" si="65"/>
        <v>1.32</v>
      </c>
      <c r="AX78" s="23">
        <f t="shared" si="66"/>
        <v>1.63</v>
      </c>
      <c r="AY78" s="23">
        <f t="shared" si="67"/>
        <v>46.6</v>
      </c>
      <c r="AZ78" s="23">
        <f>(AY78*1000)/((3.1415/6)*1000*('[1]PM number'!$F$16*0.000000001)^3*EXP(4.5*1.8^2))</f>
        <v>8.521341365153784E+17</v>
      </c>
    </row>
    <row r="79" spans="1:52" ht="12.75">
      <c r="A79" s="24" t="s">
        <v>259</v>
      </c>
      <c r="B79" s="25" t="s">
        <v>260</v>
      </c>
      <c r="C79" s="24" t="s">
        <v>261</v>
      </c>
      <c r="D79" s="24" t="s">
        <v>262</v>
      </c>
      <c r="E79" s="26">
        <v>572</v>
      </c>
      <c r="F79" s="26">
        <v>2</v>
      </c>
      <c r="G79" s="27">
        <v>7</v>
      </c>
      <c r="H79" s="28">
        <v>5</v>
      </c>
      <c r="I79" s="17">
        <f t="shared" si="76"/>
        <v>3.8</v>
      </c>
      <c r="J79" s="17">
        <f t="shared" si="77"/>
        <v>1.7</v>
      </c>
      <c r="K79" s="17">
        <f t="shared" si="78"/>
        <v>70.97</v>
      </c>
      <c r="L79" s="17">
        <f t="shared" si="79"/>
        <v>94.2</v>
      </c>
      <c r="M79" s="18">
        <f t="shared" si="80"/>
        <v>0.012511082176557616</v>
      </c>
      <c r="N79" s="17">
        <f t="shared" si="72"/>
        <v>0.115</v>
      </c>
      <c r="O79" s="17">
        <f>(N79*1000)/((3.1415/6)*1000*('[1]PM number'!C12*0.000000001)^3*EXP(4.5*1.8^2))</f>
        <v>12782284911229998</v>
      </c>
      <c r="P79" s="19">
        <v>78</v>
      </c>
      <c r="Q79" s="19">
        <v>3</v>
      </c>
      <c r="R79" s="20">
        <f t="shared" si="81"/>
        <v>6.7</v>
      </c>
      <c r="S79" s="20">
        <f t="shared" si="82"/>
        <v>6.7</v>
      </c>
      <c r="T79" s="20">
        <f t="shared" si="83"/>
        <v>5.25</v>
      </c>
      <c r="U79" s="20">
        <f t="shared" si="84"/>
        <v>6.5</v>
      </c>
      <c r="V79" s="20">
        <f t="shared" si="73"/>
        <v>0.202</v>
      </c>
      <c r="W79" s="17">
        <f>(V79*1000)/((3.1415/6)*1000*('[1]PM number'!$E$12*0.000000001)^3*EXP(4.5*1.8^2))</f>
        <v>3914740056748945.5</v>
      </c>
      <c r="X79">
        <f t="shared" si="85"/>
        <v>0.037222410306683384</v>
      </c>
      <c r="Y79" s="19">
        <v>38</v>
      </c>
      <c r="Z79" s="19">
        <v>5.5</v>
      </c>
      <c r="AA79" s="20">
        <f t="shared" si="86"/>
        <v>8.6</v>
      </c>
      <c r="AB79" s="20">
        <f t="shared" si="87"/>
        <v>4.5</v>
      </c>
      <c r="AC79" s="20">
        <f t="shared" si="88"/>
        <v>11.42</v>
      </c>
      <c r="AD79" s="20">
        <f t="shared" si="89"/>
        <v>14.4</v>
      </c>
      <c r="AE79" s="20">
        <f t="shared" si="74"/>
        <v>0.155</v>
      </c>
      <c r="AF79" s="17">
        <f>(AE79*1000)/((3.1415/6)*1000*('[1]PM number'!$D$12*0.000000001)^3*EXP(4.5*1.8^2))</f>
        <v>13303406374889300</v>
      </c>
      <c r="AG79" s="17">
        <f t="shared" si="90"/>
        <v>0.025982479161494664</v>
      </c>
      <c r="AH79" s="21">
        <f t="shared" si="68"/>
        <v>38.2</v>
      </c>
      <c r="AI79" s="21">
        <f t="shared" si="69"/>
        <v>180.1</v>
      </c>
      <c r="AJ79" s="21">
        <f t="shared" si="61"/>
        <v>806.1</v>
      </c>
      <c r="AK79" s="21">
        <f t="shared" si="70"/>
        <v>1050.7</v>
      </c>
      <c r="AL79" s="21">
        <f t="shared" si="71"/>
        <v>6.2</v>
      </c>
      <c r="AM79" s="21">
        <f t="shared" si="62"/>
        <v>30000431342868244</v>
      </c>
      <c r="AN79" s="19">
        <v>0.9</v>
      </c>
      <c r="AO79" s="19">
        <v>65</v>
      </c>
      <c r="AP79" s="22">
        <f t="shared" si="91"/>
        <v>0.0330473945944411</v>
      </c>
      <c r="AQ79" s="22">
        <f t="shared" si="92"/>
        <v>6.1</v>
      </c>
      <c r="AR79" s="22">
        <f t="shared" si="93"/>
        <v>6.39</v>
      </c>
      <c r="AS79" s="22">
        <f t="shared" si="94"/>
        <v>7.9</v>
      </c>
      <c r="AT79" s="22">
        <f t="shared" si="75"/>
        <v>0.187</v>
      </c>
      <c r="AU79" s="23">
        <f t="shared" si="63"/>
        <v>214.1</v>
      </c>
      <c r="AV79" s="23">
        <f t="shared" si="64"/>
        <v>1.31</v>
      </c>
      <c r="AW79" s="23">
        <f t="shared" si="65"/>
        <v>1.37</v>
      </c>
      <c r="AX79" s="23">
        <f t="shared" si="66"/>
        <v>1.69</v>
      </c>
      <c r="AY79" s="23">
        <f t="shared" si="67"/>
        <v>40</v>
      </c>
      <c r="AZ79" s="23">
        <f>(AY79*1000)/((3.1415/6)*1000*('[1]PM number'!$F$16*0.000000001)^3*EXP(4.5*1.8^2))</f>
        <v>7.314456107428141E+17</v>
      </c>
    </row>
    <row r="80" spans="1:52" ht="12.75">
      <c r="A80" s="24" t="s">
        <v>259</v>
      </c>
      <c r="B80" s="25" t="s">
        <v>263</v>
      </c>
      <c r="C80" s="24" t="s">
        <v>264</v>
      </c>
      <c r="D80" s="24" t="s">
        <v>265</v>
      </c>
      <c r="E80" s="26">
        <v>572</v>
      </c>
      <c r="F80" s="26">
        <v>2</v>
      </c>
      <c r="G80" s="27">
        <v>7</v>
      </c>
      <c r="H80" s="28">
        <v>5</v>
      </c>
      <c r="I80" s="17">
        <f t="shared" si="76"/>
        <v>3.8</v>
      </c>
      <c r="J80" s="17">
        <f t="shared" si="77"/>
        <v>1.7</v>
      </c>
      <c r="K80" s="17">
        <f t="shared" si="78"/>
        <v>70.97</v>
      </c>
      <c r="L80" s="17">
        <f t="shared" si="79"/>
        <v>94.2</v>
      </c>
      <c r="M80" s="18">
        <f t="shared" si="80"/>
        <v>0.012511082176557616</v>
      </c>
      <c r="N80" s="17">
        <f t="shared" si="72"/>
        <v>0.115</v>
      </c>
      <c r="O80" s="17">
        <f>(N80*1000)/((3.1415/6)*1000*('[1]PM number'!C12*0.000000001)^3*EXP(4.5*1.8^2))</f>
        <v>12782284911229998</v>
      </c>
      <c r="P80" s="19">
        <v>78</v>
      </c>
      <c r="Q80" s="19">
        <v>3</v>
      </c>
      <c r="R80" s="20">
        <f t="shared" si="81"/>
        <v>6.7</v>
      </c>
      <c r="S80" s="20">
        <f t="shared" si="82"/>
        <v>6.7</v>
      </c>
      <c r="T80" s="20">
        <f t="shared" si="83"/>
        <v>5.25</v>
      </c>
      <c r="U80" s="20">
        <f t="shared" si="84"/>
        <v>6.5</v>
      </c>
      <c r="V80" s="20">
        <f t="shared" si="73"/>
        <v>0.202</v>
      </c>
      <c r="W80" s="17">
        <f>(V80*1000)/((3.1415/6)*1000*('[1]PM number'!$E$12*0.000000001)^3*EXP(4.5*1.8^2))</f>
        <v>3914740056748945.5</v>
      </c>
      <c r="X80">
        <f t="shared" si="85"/>
        <v>0.037222410306683384</v>
      </c>
      <c r="Y80" s="19">
        <v>38</v>
      </c>
      <c r="Z80" s="19">
        <v>5.5</v>
      </c>
      <c r="AA80" s="20">
        <f t="shared" si="86"/>
        <v>8.6</v>
      </c>
      <c r="AB80" s="20">
        <f t="shared" si="87"/>
        <v>4.5</v>
      </c>
      <c r="AC80" s="20">
        <f t="shared" si="88"/>
        <v>11.42</v>
      </c>
      <c r="AD80" s="20">
        <f t="shared" si="89"/>
        <v>14.4</v>
      </c>
      <c r="AE80" s="20">
        <f t="shared" si="74"/>
        <v>0.155</v>
      </c>
      <c r="AF80" s="17">
        <f>(AE80*1000)/((3.1415/6)*1000*('[1]PM number'!$D$12*0.000000001)^3*EXP(4.5*1.8^2))</f>
        <v>13303406374889300</v>
      </c>
      <c r="AG80" s="17">
        <f t="shared" si="90"/>
        <v>0.025982479161494664</v>
      </c>
      <c r="AH80" s="21">
        <f t="shared" si="68"/>
        <v>38.2</v>
      </c>
      <c r="AI80" s="21">
        <f t="shared" si="69"/>
        <v>180.1</v>
      </c>
      <c r="AJ80" s="21">
        <f t="shared" si="61"/>
        <v>806.1</v>
      </c>
      <c r="AK80" s="21">
        <f t="shared" si="70"/>
        <v>1050.7</v>
      </c>
      <c r="AL80" s="21">
        <f t="shared" si="71"/>
        <v>6.2</v>
      </c>
      <c r="AM80" s="21">
        <f t="shared" si="62"/>
        <v>30000431342868244</v>
      </c>
      <c r="AN80" s="19">
        <v>0.9</v>
      </c>
      <c r="AO80" s="19">
        <v>65</v>
      </c>
      <c r="AP80" s="22">
        <f t="shared" si="91"/>
        <v>0.0330473945944411</v>
      </c>
      <c r="AQ80" s="22">
        <f t="shared" si="92"/>
        <v>6.1</v>
      </c>
      <c r="AR80" s="22">
        <f t="shared" si="93"/>
        <v>6.39</v>
      </c>
      <c r="AS80" s="22">
        <f t="shared" si="94"/>
        <v>7.9</v>
      </c>
      <c r="AT80" s="22">
        <f t="shared" si="75"/>
        <v>0.187</v>
      </c>
      <c r="AU80" s="23">
        <f t="shared" si="63"/>
        <v>214.1</v>
      </c>
      <c r="AV80" s="23">
        <f t="shared" si="64"/>
        <v>1.31</v>
      </c>
      <c r="AW80" s="23">
        <f t="shared" si="65"/>
        <v>1.37</v>
      </c>
      <c r="AX80" s="23">
        <f t="shared" si="66"/>
        <v>1.69</v>
      </c>
      <c r="AY80" s="23">
        <f t="shared" si="67"/>
        <v>40</v>
      </c>
      <c r="AZ80" s="23">
        <f>(AY80*1000)/((3.1415/6)*1000*('[1]PM number'!$F$16*0.000000001)^3*EXP(4.5*1.8^2))</f>
        <v>7.314456107428141E+17</v>
      </c>
    </row>
    <row r="81" spans="1:52" ht="12.75">
      <c r="A81" s="24" t="s">
        <v>266</v>
      </c>
      <c r="B81" s="25" t="s">
        <v>206</v>
      </c>
      <c r="C81" s="24" t="s">
        <v>267</v>
      </c>
      <c r="D81" s="24" t="s">
        <v>268</v>
      </c>
      <c r="E81" s="26">
        <v>429</v>
      </c>
      <c r="F81" s="26">
        <v>2</v>
      </c>
      <c r="G81" s="27">
        <v>7</v>
      </c>
      <c r="H81" s="28">
        <v>5</v>
      </c>
      <c r="I81" s="17">
        <f t="shared" si="76"/>
        <v>3.2</v>
      </c>
      <c r="J81" s="17">
        <f t="shared" si="77"/>
        <v>1.5</v>
      </c>
      <c r="K81" s="17">
        <f t="shared" si="78"/>
        <v>96.84</v>
      </c>
      <c r="L81" s="17">
        <f t="shared" si="79"/>
        <v>129.6</v>
      </c>
      <c r="M81" s="18">
        <f t="shared" si="80"/>
        <v>0.01082671454263034</v>
      </c>
      <c r="N81" s="17">
        <f t="shared" si="72"/>
        <v>0.113</v>
      </c>
      <c r="O81" s="17">
        <f>(N81*1000)/((3.1415/6)*1000*('[1]PM number'!C24*0.000000001)^3*EXP(4.5*1.8^2))</f>
        <v>1.2559984304078165E+22</v>
      </c>
      <c r="P81" s="19">
        <v>78</v>
      </c>
      <c r="Q81" s="19">
        <v>3</v>
      </c>
      <c r="R81" s="20">
        <f t="shared" si="81"/>
        <v>5.6</v>
      </c>
      <c r="S81" s="20">
        <f t="shared" si="82"/>
        <v>5.7</v>
      </c>
      <c r="T81" s="20">
        <f t="shared" si="83"/>
        <v>7.16</v>
      </c>
      <c r="U81" s="20">
        <f t="shared" si="84"/>
        <v>8.9</v>
      </c>
      <c r="V81" s="20">
        <f t="shared" si="73"/>
        <v>0.179</v>
      </c>
      <c r="W81" s="17">
        <f>(V81*1000)/((3.1415/6)*1000*('[1]PM number'!$E$12*0.000000001)^3*EXP(4.5*1.8^2))</f>
        <v>3469002327515155</v>
      </c>
      <c r="X81">
        <f t="shared" si="85"/>
        <v>0.03111905803883781</v>
      </c>
      <c r="Y81" s="19">
        <v>38</v>
      </c>
      <c r="Z81" s="19">
        <v>5.5</v>
      </c>
      <c r="AA81" s="20">
        <f t="shared" si="86"/>
        <v>7.8</v>
      </c>
      <c r="AB81" s="20">
        <f t="shared" si="87"/>
        <v>3.8</v>
      </c>
      <c r="AC81" s="20">
        <f t="shared" si="88"/>
        <v>15.58</v>
      </c>
      <c r="AD81" s="20">
        <f t="shared" si="89"/>
        <v>19.8</v>
      </c>
      <c r="AE81" s="20">
        <f t="shared" si="74"/>
        <v>0.143</v>
      </c>
      <c r="AF81" s="17">
        <f>(AE81*1000)/((3.1415/6)*1000*('[1]PM number'!$D$12*0.000000001)^3*EXP(4.5*1.8^2))</f>
        <v>12273465236188192</v>
      </c>
      <c r="AG81" s="17">
        <f t="shared" si="90"/>
        <v>0.02361300203056509</v>
      </c>
      <c r="AH81" s="21">
        <f t="shared" si="68"/>
        <v>33.2</v>
      </c>
      <c r="AI81" s="21">
        <f t="shared" si="69"/>
        <v>132.7</v>
      </c>
      <c r="AJ81" s="21">
        <f t="shared" si="61"/>
        <v>943</v>
      </c>
      <c r="AK81" s="21">
        <f t="shared" si="70"/>
        <v>1238</v>
      </c>
      <c r="AL81" s="21">
        <f t="shared" si="71"/>
        <v>5</v>
      </c>
      <c r="AM81" s="21">
        <f t="shared" si="62"/>
        <v>1.256000004654573E+22</v>
      </c>
      <c r="AN81" s="19">
        <v>0.9</v>
      </c>
      <c r="AO81" s="19">
        <v>65</v>
      </c>
      <c r="AP81" s="22">
        <f t="shared" si="91"/>
        <v>0.028521672868164195</v>
      </c>
      <c r="AQ81" s="22">
        <f t="shared" si="92"/>
        <v>5.2</v>
      </c>
      <c r="AR81" s="22">
        <f t="shared" si="93"/>
        <v>8.72</v>
      </c>
      <c r="AS81" s="22">
        <f t="shared" si="94"/>
        <v>10.9</v>
      </c>
      <c r="AT81" s="22">
        <f t="shared" si="75"/>
        <v>0.168</v>
      </c>
      <c r="AU81" s="23">
        <f t="shared" si="63"/>
        <v>184.8</v>
      </c>
      <c r="AV81" s="23">
        <f t="shared" si="64"/>
        <v>0.96</v>
      </c>
      <c r="AW81" s="23">
        <f t="shared" si="65"/>
        <v>1.61</v>
      </c>
      <c r="AX81" s="23">
        <f t="shared" si="66"/>
        <v>2.01</v>
      </c>
      <c r="AY81" s="23">
        <f t="shared" si="67"/>
        <v>31</v>
      </c>
      <c r="AZ81" s="23">
        <f>(AY81*1000)/((3.1415/6)*1000*('[1]PM number'!$F$16*0.000000001)^3*EXP(4.5*1.8^2))</f>
        <v>5.6687034832568096E+17</v>
      </c>
    </row>
    <row r="82" spans="1:52" ht="25.5">
      <c r="A82" s="24" t="s">
        <v>269</v>
      </c>
      <c r="B82" s="25" t="s">
        <v>270</v>
      </c>
      <c r="C82" s="24" t="s">
        <v>271</v>
      </c>
      <c r="D82" s="24" t="s">
        <v>272</v>
      </c>
      <c r="E82" s="26">
        <v>641</v>
      </c>
      <c r="F82" s="26">
        <v>1</v>
      </c>
      <c r="G82" s="27">
        <v>13</v>
      </c>
      <c r="H82" s="28">
        <v>5</v>
      </c>
      <c r="I82" s="17">
        <f t="shared" si="76"/>
        <v>5.4</v>
      </c>
      <c r="J82" s="17">
        <f t="shared" si="77"/>
        <v>2.6</v>
      </c>
      <c r="K82" s="17">
        <f t="shared" si="78"/>
        <v>32.16</v>
      </c>
      <c r="L82" s="17">
        <f t="shared" si="79"/>
        <v>41.8</v>
      </c>
      <c r="M82" s="18">
        <f t="shared" si="80"/>
        <v>0.017925385150309885</v>
      </c>
      <c r="N82" s="17">
        <f t="shared" si="72"/>
        <v>0.125</v>
      </c>
      <c r="O82" s="17">
        <f>(N82*1000)/((3.1415/6)*1000*('[1]PM number'!C16*0.000000001)^3*EXP(4.5*1.8^2))</f>
        <v>15951831423961924</v>
      </c>
      <c r="P82" s="19">
        <v>87</v>
      </c>
      <c r="Q82" s="19">
        <v>3</v>
      </c>
      <c r="R82" s="20">
        <f t="shared" si="81"/>
        <v>7.8</v>
      </c>
      <c r="S82" s="20">
        <f t="shared" si="82"/>
        <v>7.7</v>
      </c>
      <c r="T82" s="20">
        <f t="shared" si="83"/>
        <v>4.13</v>
      </c>
      <c r="U82" s="20">
        <f t="shared" si="84"/>
        <v>5.1</v>
      </c>
      <c r="V82" s="20">
        <f t="shared" si="73"/>
        <v>0.223</v>
      </c>
      <c r="W82" s="17">
        <f>(V82*1000)/((3.1415/6)*1000*('[1]PM number'!$E16*0.000000001)^3*EXP(4.5*1.8^2))</f>
        <v>3474748008655301.5</v>
      </c>
      <c r="X82" s="31">
        <f t="shared" si="85"/>
        <v>0.04360642598464815</v>
      </c>
      <c r="Y82" s="19">
        <v>46</v>
      </c>
      <c r="Z82" s="19">
        <v>5.5</v>
      </c>
      <c r="AA82" s="20">
        <f t="shared" si="86"/>
        <v>10.2</v>
      </c>
      <c r="AB82" s="20">
        <f t="shared" si="87"/>
        <v>5.3</v>
      </c>
      <c r="AC82" s="20">
        <f t="shared" si="88"/>
        <v>8.21</v>
      </c>
      <c r="AD82" s="20">
        <f t="shared" si="89"/>
        <v>10.3</v>
      </c>
      <c r="AE82" s="20">
        <f t="shared" si="74"/>
        <v>0.171</v>
      </c>
      <c r="AF82" s="17">
        <f>(AE82*1000)/((3.1415/6)*1000*('[1]PM number'!$D16*0.000000001)^3*EXP(4.5*1.8^2))</f>
        <v>10728787725334396</v>
      </c>
      <c r="AG82" s="17">
        <f t="shared" si="90"/>
        <v>0.03096414748965773</v>
      </c>
      <c r="AH82" s="21">
        <f t="shared" si="68"/>
        <v>23.4</v>
      </c>
      <c r="AI82" s="21">
        <f t="shared" si="69"/>
        <v>128.2</v>
      </c>
      <c r="AJ82" s="21">
        <f t="shared" si="61"/>
        <v>289.6</v>
      </c>
      <c r="AK82" s="21">
        <f t="shared" si="70"/>
        <v>370.6</v>
      </c>
      <c r="AL82" s="21">
        <f t="shared" si="71"/>
        <v>4.2</v>
      </c>
      <c r="AM82" s="21">
        <f t="shared" si="62"/>
        <v>30155367157951620</v>
      </c>
      <c r="AN82" s="19">
        <v>0.9</v>
      </c>
      <c r="AO82" s="19">
        <v>80</v>
      </c>
      <c r="AP82" s="22">
        <f t="shared" si="91"/>
        <v>0.041108250401840345</v>
      </c>
      <c r="AQ82" s="22">
        <f t="shared" si="92"/>
        <v>7.3</v>
      </c>
      <c r="AR82" s="22">
        <f t="shared" si="93"/>
        <v>4.52</v>
      </c>
      <c r="AS82" s="22">
        <f t="shared" si="94"/>
        <v>5.6</v>
      </c>
      <c r="AT82" s="22">
        <f t="shared" si="75"/>
        <v>0.214</v>
      </c>
      <c r="AU82" s="23">
        <f t="shared" si="63"/>
        <v>133.2</v>
      </c>
      <c r="AV82" s="23">
        <f t="shared" si="64"/>
        <v>0.97</v>
      </c>
      <c r="AW82" s="23">
        <f t="shared" si="65"/>
        <v>0.6</v>
      </c>
      <c r="AX82" s="23">
        <f t="shared" si="66"/>
        <v>0.75</v>
      </c>
      <c r="AY82" s="23">
        <f t="shared" si="67"/>
        <v>28.5</v>
      </c>
      <c r="AZ82" s="23">
        <f>(AY82*1000)/((3.1415/6)*1000*('[1]PM number'!F20*0.000000001)^3*EXP(4.5*1.8^2))</f>
        <v>9.38602563529932E+17</v>
      </c>
    </row>
    <row r="83" spans="1:52" ht="25.5">
      <c r="A83" s="24" t="s">
        <v>273</v>
      </c>
      <c r="B83" s="25" t="s">
        <v>270</v>
      </c>
      <c r="C83" s="24" t="s">
        <v>274</v>
      </c>
      <c r="D83" s="24" t="s">
        <v>169</v>
      </c>
      <c r="E83" s="26">
        <v>732</v>
      </c>
      <c r="F83" s="26">
        <v>1</v>
      </c>
      <c r="G83" s="27">
        <v>13</v>
      </c>
      <c r="H83" s="28">
        <v>5</v>
      </c>
      <c r="I83" s="17">
        <f t="shared" si="76"/>
        <v>5.7</v>
      </c>
      <c r="J83" s="17">
        <f t="shared" si="77"/>
        <v>2.8</v>
      </c>
      <c r="K83" s="17">
        <f t="shared" si="78"/>
        <v>27.86</v>
      </c>
      <c r="L83" s="17">
        <f t="shared" si="79"/>
        <v>36</v>
      </c>
      <c r="M83" s="18">
        <f t="shared" si="80"/>
        <v>0.019113721901584196</v>
      </c>
      <c r="N83" s="17">
        <f t="shared" si="72"/>
        <v>0.128</v>
      </c>
      <c r="O83" s="17">
        <f>(N83*1000)/((3.1415/6)*1000*('[1]PM number'!C16*0.000000001)^3*EXP(4.5*1.8^2))</f>
        <v>16334675378137010</v>
      </c>
      <c r="P83" s="19">
        <v>87</v>
      </c>
      <c r="Q83" s="19">
        <v>3</v>
      </c>
      <c r="R83" s="20">
        <f t="shared" si="81"/>
        <v>8.7</v>
      </c>
      <c r="S83" s="20">
        <f t="shared" si="82"/>
        <v>8.3</v>
      </c>
      <c r="T83" s="20">
        <f t="shared" si="83"/>
        <v>3.58</v>
      </c>
      <c r="U83" s="20">
        <f t="shared" si="84"/>
        <v>4.4</v>
      </c>
      <c r="V83" s="20">
        <f t="shared" si="73"/>
        <v>0.237</v>
      </c>
      <c r="W83" s="17">
        <f>(V83*1000)/((3.1415/6)*1000*('[1]PM number'!$E$16*0.000000001)^3*EXP(4.5*1.8^2))</f>
        <v>3692893623548459.5</v>
      </c>
      <c r="X83">
        <f t="shared" si="85"/>
        <v>0.04824429955061902</v>
      </c>
      <c r="Y83" s="19">
        <v>46</v>
      </c>
      <c r="Z83" s="19">
        <v>5.5</v>
      </c>
      <c r="AA83" s="20">
        <f t="shared" si="86"/>
        <v>10.8</v>
      </c>
      <c r="AB83" s="20">
        <f t="shared" si="87"/>
        <v>5.7</v>
      </c>
      <c r="AC83" s="20">
        <f t="shared" si="88"/>
        <v>7.12</v>
      </c>
      <c r="AD83" s="20">
        <f t="shared" si="89"/>
        <v>8.9</v>
      </c>
      <c r="AE83" s="20">
        <f t="shared" si="74"/>
        <v>0.18</v>
      </c>
      <c r="AF83" s="17">
        <f>(AE83*1000)/((3.1415/6)*1000*('[1]PM number'!$D$16*0.000000001)^3*EXP(4.5*1.8^2))</f>
        <v>11293460763509890</v>
      </c>
      <c r="AG83" s="17">
        <f t="shared" si="90"/>
        <v>0.032720830301736455</v>
      </c>
      <c r="AH83" s="21">
        <f t="shared" si="68"/>
        <v>25.2</v>
      </c>
      <c r="AI83" s="21">
        <f t="shared" si="69"/>
        <v>149.7</v>
      </c>
      <c r="AJ83" s="21">
        <f t="shared" si="61"/>
        <v>266.8</v>
      </c>
      <c r="AK83" s="21">
        <f t="shared" si="70"/>
        <v>339.6</v>
      </c>
      <c r="AL83" s="21">
        <f t="shared" si="71"/>
        <v>4.7</v>
      </c>
      <c r="AM83" s="21">
        <f t="shared" si="62"/>
        <v>31321029765195360</v>
      </c>
      <c r="AN83" s="19">
        <v>0.9</v>
      </c>
      <c r="AO83" s="19">
        <v>80</v>
      </c>
      <c r="AP83" s="22">
        <f t="shared" si="91"/>
        <v>0.0452173562231263</v>
      </c>
      <c r="AQ83" s="22">
        <f t="shared" si="92"/>
        <v>7.9</v>
      </c>
      <c r="AR83" s="22">
        <f t="shared" si="93"/>
        <v>3.91</v>
      </c>
      <c r="AS83" s="22">
        <f t="shared" si="94"/>
        <v>4.8</v>
      </c>
      <c r="AT83" s="22">
        <f t="shared" si="75"/>
        <v>0.228</v>
      </c>
      <c r="AU83" s="23">
        <f t="shared" si="63"/>
        <v>146.5</v>
      </c>
      <c r="AV83" s="23">
        <f t="shared" si="64"/>
        <v>1.16</v>
      </c>
      <c r="AW83" s="23">
        <f t="shared" si="65"/>
        <v>0.57</v>
      </c>
      <c r="AX83" s="23">
        <f t="shared" si="66"/>
        <v>0.7</v>
      </c>
      <c r="AY83" s="23">
        <f t="shared" si="67"/>
        <v>33.4</v>
      </c>
      <c r="AZ83" s="23">
        <f>(AY83*1000)/((3.1415/6)*1000*('[1]PM number'!F20*0.000000001)^3*EXP(4.5*1.8^2))</f>
        <v>1.0999763376105169E+18</v>
      </c>
    </row>
    <row r="84" spans="1:52" ht="25.5">
      <c r="A84" s="24" t="s">
        <v>273</v>
      </c>
      <c r="B84" s="25" t="s">
        <v>275</v>
      </c>
      <c r="C84" s="24" t="s">
        <v>276</v>
      </c>
      <c r="D84" s="24" t="s">
        <v>169</v>
      </c>
      <c r="E84" s="26">
        <v>732</v>
      </c>
      <c r="F84" s="26">
        <v>1</v>
      </c>
      <c r="G84" s="27">
        <v>13</v>
      </c>
      <c r="H84" s="28">
        <v>5</v>
      </c>
      <c r="I84" s="17">
        <f t="shared" si="76"/>
        <v>5.7</v>
      </c>
      <c r="J84" s="17">
        <f t="shared" si="77"/>
        <v>2.8</v>
      </c>
      <c r="K84" s="17">
        <f t="shared" si="78"/>
        <v>27.86</v>
      </c>
      <c r="L84" s="17">
        <f t="shared" si="79"/>
        <v>36</v>
      </c>
      <c r="M84" s="18">
        <f t="shared" si="80"/>
        <v>0.019113721901584196</v>
      </c>
      <c r="N84" s="17">
        <f t="shared" si="72"/>
        <v>0.128</v>
      </c>
      <c r="O84" s="17">
        <f>(N84*1000)/((3.1415/6)*1000*('[1]PM number'!C16*0.000000001)^3*EXP(4.5*1.8^2))</f>
        <v>16334675378137010</v>
      </c>
      <c r="P84" s="19">
        <v>87</v>
      </c>
      <c r="Q84" s="19">
        <v>3</v>
      </c>
      <c r="R84" s="20">
        <f t="shared" si="81"/>
        <v>8.7</v>
      </c>
      <c r="S84" s="20">
        <f t="shared" si="82"/>
        <v>8.3</v>
      </c>
      <c r="T84" s="20">
        <f t="shared" si="83"/>
        <v>3.58</v>
      </c>
      <c r="U84" s="20">
        <f t="shared" si="84"/>
        <v>4.4</v>
      </c>
      <c r="V84" s="20">
        <f t="shared" si="73"/>
        <v>0.237</v>
      </c>
      <c r="W84" s="17">
        <f>(V84*1000)/((3.1415/6)*1000*('[1]PM number'!$E$16*0.000000001)^3*EXP(4.5*1.8^2))</f>
        <v>3692893623548459.5</v>
      </c>
      <c r="X84">
        <f t="shared" si="85"/>
        <v>0.04824429955061902</v>
      </c>
      <c r="Y84" s="19">
        <v>46</v>
      </c>
      <c r="Z84" s="19">
        <v>5.5</v>
      </c>
      <c r="AA84" s="20">
        <f t="shared" si="86"/>
        <v>10.8</v>
      </c>
      <c r="AB84" s="20">
        <f t="shared" si="87"/>
        <v>5.7</v>
      </c>
      <c r="AC84" s="20">
        <f t="shared" si="88"/>
        <v>7.12</v>
      </c>
      <c r="AD84" s="20">
        <f t="shared" si="89"/>
        <v>8.9</v>
      </c>
      <c r="AE84" s="20">
        <f t="shared" si="74"/>
        <v>0.18</v>
      </c>
      <c r="AF84" s="17">
        <f>(AE84*1000)/((3.1415/6)*1000*('[1]PM number'!$D$16*0.000000001)^3*EXP(4.5*1.8^2))</f>
        <v>11293460763509890</v>
      </c>
      <c r="AG84" s="17">
        <f t="shared" si="90"/>
        <v>0.032720830301736455</v>
      </c>
      <c r="AH84" s="21">
        <f t="shared" si="68"/>
        <v>25.2</v>
      </c>
      <c r="AI84" s="21">
        <f t="shared" si="69"/>
        <v>149.7</v>
      </c>
      <c r="AJ84" s="21">
        <f t="shared" si="61"/>
        <v>266.8</v>
      </c>
      <c r="AK84" s="21">
        <f t="shared" si="70"/>
        <v>339.6</v>
      </c>
      <c r="AL84" s="21">
        <f t="shared" si="71"/>
        <v>4.7</v>
      </c>
      <c r="AM84" s="21">
        <f t="shared" si="62"/>
        <v>31321029765195360</v>
      </c>
      <c r="AN84" s="19">
        <v>0.9</v>
      </c>
      <c r="AO84" s="19">
        <v>80</v>
      </c>
      <c r="AP84" s="22">
        <f t="shared" si="91"/>
        <v>0.0452173562231263</v>
      </c>
      <c r="AQ84" s="22">
        <f t="shared" si="92"/>
        <v>7.9</v>
      </c>
      <c r="AR84" s="22">
        <f t="shared" si="93"/>
        <v>3.91</v>
      </c>
      <c r="AS84" s="22">
        <f t="shared" si="94"/>
        <v>4.8</v>
      </c>
      <c r="AT84" s="22">
        <f t="shared" si="75"/>
        <v>0.228</v>
      </c>
      <c r="AU84" s="23">
        <f t="shared" si="63"/>
        <v>146.5</v>
      </c>
      <c r="AV84" s="23">
        <f t="shared" si="64"/>
        <v>1.16</v>
      </c>
      <c r="AW84" s="23">
        <f t="shared" si="65"/>
        <v>0.57</v>
      </c>
      <c r="AX84" s="23">
        <f t="shared" si="66"/>
        <v>0.7</v>
      </c>
      <c r="AY84" s="23">
        <f t="shared" si="67"/>
        <v>33.4</v>
      </c>
      <c r="AZ84" s="23">
        <f>(AY84*1000)/((3.1415/6)*1000*('[1]PM number'!F20*0.000000001)^3*EXP(4.5*1.8^2))</f>
        <v>1.0999763376105169E+18</v>
      </c>
    </row>
    <row r="85" spans="1:52" ht="12.75">
      <c r="A85" s="24" t="s">
        <v>277</v>
      </c>
      <c r="B85" s="25" t="s">
        <v>270</v>
      </c>
      <c r="C85" s="24" t="s">
        <v>278</v>
      </c>
      <c r="D85" s="24" t="s">
        <v>279</v>
      </c>
      <c r="E85" s="26">
        <v>848</v>
      </c>
      <c r="F85" s="26">
        <v>1</v>
      </c>
      <c r="G85" s="27">
        <v>13</v>
      </c>
      <c r="H85" s="28">
        <v>5</v>
      </c>
      <c r="I85" s="17">
        <f t="shared" si="76"/>
        <v>6.2</v>
      </c>
      <c r="J85" s="17">
        <f t="shared" si="77"/>
        <v>3.1</v>
      </c>
      <c r="K85" s="17">
        <f t="shared" si="78"/>
        <v>23.77</v>
      </c>
      <c r="L85" s="17">
        <f t="shared" si="79"/>
        <v>30.6</v>
      </c>
      <c r="M85" s="18">
        <f t="shared" si="80"/>
        <v>0.020501377469787987</v>
      </c>
      <c r="N85" s="17">
        <f t="shared" si="72"/>
        <v>0.131</v>
      </c>
      <c r="O85" s="17">
        <f>(N85*1000)/((3.1415/6)*1000*('[1]PM number'!C16*0.000000001)^3*EXP(4.5*1.8^2))</f>
        <v>16717519332312096</v>
      </c>
      <c r="P85" s="19">
        <v>87</v>
      </c>
      <c r="Q85" s="19">
        <v>3</v>
      </c>
      <c r="R85" s="20">
        <f t="shared" si="81"/>
        <v>9.8</v>
      </c>
      <c r="S85" s="20">
        <f t="shared" si="82"/>
        <v>9</v>
      </c>
      <c r="T85" s="20">
        <f t="shared" si="83"/>
        <v>3.05</v>
      </c>
      <c r="U85" s="20">
        <f t="shared" si="84"/>
        <v>3.7</v>
      </c>
      <c r="V85" s="20">
        <f t="shared" si="73"/>
        <v>0.254</v>
      </c>
      <c r="W85" s="17">
        <f>(V85*1000)/((3.1415/6)*1000*('[1]PM number'!$E$16*0.000000001)^3*EXP(4.5*1.8^2))</f>
        <v>3957784727347294</v>
      </c>
      <c r="X85" s="31">
        <f t="shared" si="85"/>
        <v>0.05424931784058345</v>
      </c>
      <c r="Y85" s="19">
        <v>46</v>
      </c>
      <c r="Z85" s="19">
        <v>5.5</v>
      </c>
      <c r="AA85" s="20">
        <f t="shared" si="86"/>
        <v>11.6</v>
      </c>
      <c r="AB85" s="20">
        <f t="shared" si="87"/>
        <v>6.3</v>
      </c>
      <c r="AC85" s="20">
        <f t="shared" si="88"/>
        <v>6.07</v>
      </c>
      <c r="AD85" s="20">
        <f t="shared" si="89"/>
        <v>7.5</v>
      </c>
      <c r="AE85" s="20">
        <f t="shared" si="74"/>
        <v>0.191</v>
      </c>
      <c r="AF85" s="17">
        <f>(AE85*1000)/((3.1415/6)*1000*('[1]PM number'!$D$16*0.000000001)^3*EXP(4.5*1.8^2))</f>
        <v>11983616699057716</v>
      </c>
      <c r="AG85" s="17">
        <f t="shared" si="90"/>
        <v>0.03503379155341995</v>
      </c>
      <c r="AH85" s="21">
        <f t="shared" si="68"/>
        <v>27.6</v>
      </c>
      <c r="AI85" s="21">
        <f t="shared" si="69"/>
        <v>180.5</v>
      </c>
      <c r="AJ85" s="21">
        <f t="shared" si="61"/>
        <v>247.7</v>
      </c>
      <c r="AK85" s="21">
        <f t="shared" si="70"/>
        <v>313</v>
      </c>
      <c r="AL85" s="21">
        <f t="shared" si="71"/>
        <v>5.5</v>
      </c>
      <c r="AM85" s="21">
        <f t="shared" si="62"/>
        <v>32658920758717108</v>
      </c>
      <c r="AN85" s="19">
        <v>0.83</v>
      </c>
      <c r="AO85" s="19">
        <v>80</v>
      </c>
      <c r="AP85" s="22">
        <f t="shared" si="91"/>
        <v>0.050727949219952835</v>
      </c>
      <c r="AQ85" s="22">
        <f t="shared" si="92"/>
        <v>8.6</v>
      </c>
      <c r="AR85" s="22">
        <f t="shared" si="93"/>
        <v>3.34</v>
      </c>
      <c r="AS85" s="22">
        <f t="shared" si="94"/>
        <v>4.1</v>
      </c>
      <c r="AT85" s="22">
        <f t="shared" si="75"/>
        <v>0.244</v>
      </c>
      <c r="AU85" s="23">
        <f t="shared" si="63"/>
        <v>151.6</v>
      </c>
      <c r="AV85" s="23">
        <f t="shared" si="64"/>
        <v>1.3</v>
      </c>
      <c r="AW85" s="23">
        <f t="shared" si="65"/>
        <v>0.51</v>
      </c>
      <c r="AX85" s="23">
        <f t="shared" si="66"/>
        <v>0.62</v>
      </c>
      <c r="AY85" s="23">
        <f t="shared" si="67"/>
        <v>37</v>
      </c>
      <c r="AZ85" s="23">
        <f>(AY85*1000)/((3.1415/6)*1000*('[1]PM number'!F20*0.000000001)^3*EXP(4.5*1.8^2))</f>
        <v>1.218536661424824E+18</v>
      </c>
    </row>
    <row r="86" spans="1:52" ht="12.75">
      <c r="A86" s="24" t="s">
        <v>277</v>
      </c>
      <c r="B86" s="25" t="s">
        <v>270</v>
      </c>
      <c r="C86" s="24" t="s">
        <v>278</v>
      </c>
      <c r="D86" s="24" t="s">
        <v>280</v>
      </c>
      <c r="E86" s="26">
        <v>848</v>
      </c>
      <c r="F86" s="26">
        <v>1</v>
      </c>
      <c r="G86" s="27">
        <v>13</v>
      </c>
      <c r="H86" s="28">
        <v>5</v>
      </c>
      <c r="I86" s="17">
        <f t="shared" si="76"/>
        <v>6.2</v>
      </c>
      <c r="J86" s="17">
        <f t="shared" si="77"/>
        <v>3.1</v>
      </c>
      <c r="K86" s="17">
        <f t="shared" si="78"/>
        <v>23.77</v>
      </c>
      <c r="L86" s="17">
        <f t="shared" si="79"/>
        <v>30.6</v>
      </c>
      <c r="M86" s="18">
        <f t="shared" si="80"/>
        <v>0.020501377469787987</v>
      </c>
      <c r="N86" s="17">
        <f t="shared" si="72"/>
        <v>0.131</v>
      </c>
      <c r="O86" s="17">
        <f>(N86*1000)/((3.1415/6)*1000*('[1]PM number'!C16*0.000000001)^3*EXP(4.5*1.8^2))</f>
        <v>16717519332312096</v>
      </c>
      <c r="P86" s="19">
        <v>87</v>
      </c>
      <c r="Q86" s="19">
        <v>3</v>
      </c>
      <c r="R86" s="20">
        <f t="shared" si="81"/>
        <v>9.8</v>
      </c>
      <c r="S86" s="20">
        <f t="shared" si="82"/>
        <v>9</v>
      </c>
      <c r="T86" s="20">
        <f t="shared" si="83"/>
        <v>3.05</v>
      </c>
      <c r="U86" s="20">
        <f t="shared" si="84"/>
        <v>3.7</v>
      </c>
      <c r="V86" s="20">
        <f t="shared" si="73"/>
        <v>0.254</v>
      </c>
      <c r="W86" s="17">
        <f>(V86*1000)/((3.1415/6)*1000*('[1]PM number'!$E$16*0.000000001)^3*EXP(4.5*1.8^2))</f>
        <v>3957784727347294</v>
      </c>
      <c r="X86">
        <f t="shared" si="85"/>
        <v>0.05424931784058345</v>
      </c>
      <c r="Y86" s="19">
        <v>46</v>
      </c>
      <c r="Z86" s="19">
        <v>5.5</v>
      </c>
      <c r="AA86" s="20">
        <f t="shared" si="86"/>
        <v>11.6</v>
      </c>
      <c r="AB86" s="20">
        <f t="shared" si="87"/>
        <v>6.3</v>
      </c>
      <c r="AC86" s="20">
        <f t="shared" si="88"/>
        <v>6.07</v>
      </c>
      <c r="AD86" s="20">
        <f t="shared" si="89"/>
        <v>7.5</v>
      </c>
      <c r="AE86" s="20">
        <f t="shared" si="74"/>
        <v>0.191</v>
      </c>
      <c r="AF86" s="17">
        <f>(AE86*1000)/((3.1415/6)*1000*('[1]PM number'!$D$16*0.000000001)^3*EXP(4.5*1.8^2))</f>
        <v>11983616699057716</v>
      </c>
      <c r="AG86" s="17">
        <f t="shared" si="90"/>
        <v>0.03503379155341995</v>
      </c>
      <c r="AH86" s="21">
        <f t="shared" si="68"/>
        <v>27.6</v>
      </c>
      <c r="AI86" s="21">
        <f t="shared" si="69"/>
        <v>180.5</v>
      </c>
      <c r="AJ86" s="21">
        <f t="shared" si="61"/>
        <v>247.7</v>
      </c>
      <c r="AK86" s="21">
        <f t="shared" si="70"/>
        <v>313</v>
      </c>
      <c r="AL86" s="21">
        <f t="shared" si="71"/>
        <v>5.5</v>
      </c>
      <c r="AM86" s="21">
        <f t="shared" si="62"/>
        <v>32658920758717108</v>
      </c>
      <c r="AN86" s="19">
        <v>0.83</v>
      </c>
      <c r="AO86" s="19">
        <v>80</v>
      </c>
      <c r="AP86" s="22">
        <f t="shared" si="91"/>
        <v>0.050727949219952835</v>
      </c>
      <c r="AQ86" s="22">
        <f t="shared" si="92"/>
        <v>8.6</v>
      </c>
      <c r="AR86" s="22">
        <f t="shared" si="93"/>
        <v>3.34</v>
      </c>
      <c r="AS86" s="22">
        <f t="shared" si="94"/>
        <v>4.1</v>
      </c>
      <c r="AT86" s="22">
        <f t="shared" si="75"/>
        <v>0.244</v>
      </c>
      <c r="AU86" s="23">
        <f t="shared" si="63"/>
        <v>151.6</v>
      </c>
      <c r="AV86" s="23">
        <f t="shared" si="64"/>
        <v>1.3</v>
      </c>
      <c r="AW86" s="23">
        <f t="shared" si="65"/>
        <v>0.51</v>
      </c>
      <c r="AX86" s="23">
        <f t="shared" si="66"/>
        <v>0.62</v>
      </c>
      <c r="AY86" s="23">
        <f t="shared" si="67"/>
        <v>37</v>
      </c>
      <c r="AZ86" s="23">
        <f>(AY86*1000)/((3.1415/6)*1000*('[1]PM number'!F20*0.000000001)^3*EXP(4.5*1.8^2))</f>
        <v>1.218536661424824E+18</v>
      </c>
    </row>
    <row r="87" spans="1:52" ht="12.75">
      <c r="A87" s="24" t="s">
        <v>277</v>
      </c>
      <c r="B87" s="25" t="s">
        <v>281</v>
      </c>
      <c r="C87" s="24" t="s">
        <v>282</v>
      </c>
      <c r="D87" s="24" t="s">
        <v>280</v>
      </c>
      <c r="E87" s="26">
        <v>848</v>
      </c>
      <c r="F87" s="26">
        <v>1</v>
      </c>
      <c r="G87" s="27">
        <v>13</v>
      </c>
      <c r="H87" s="28">
        <v>5</v>
      </c>
      <c r="I87" s="17">
        <f t="shared" si="76"/>
        <v>6.2</v>
      </c>
      <c r="J87" s="17">
        <f t="shared" si="77"/>
        <v>3.1</v>
      </c>
      <c r="K87" s="17">
        <f t="shared" si="78"/>
        <v>23.77</v>
      </c>
      <c r="L87" s="17">
        <f t="shared" si="79"/>
        <v>30.6</v>
      </c>
      <c r="M87" s="18">
        <f t="shared" si="80"/>
        <v>0.020501377469787987</v>
      </c>
      <c r="N87" s="17">
        <f t="shared" si="72"/>
        <v>0.131</v>
      </c>
      <c r="O87" s="17">
        <f>(N87*1000)/((3.1415/6)*1000*('[1]PM number'!C16*0.000000001)^3*EXP(4.5*1.8^2))</f>
        <v>16717519332312096</v>
      </c>
      <c r="P87" s="19">
        <v>87</v>
      </c>
      <c r="Q87" s="19">
        <v>3</v>
      </c>
      <c r="R87" s="20">
        <f t="shared" si="81"/>
        <v>9.8</v>
      </c>
      <c r="S87" s="20">
        <f t="shared" si="82"/>
        <v>9</v>
      </c>
      <c r="T87" s="20">
        <f t="shared" si="83"/>
        <v>3.05</v>
      </c>
      <c r="U87" s="20">
        <f t="shared" si="84"/>
        <v>3.7</v>
      </c>
      <c r="V87" s="20">
        <f t="shared" si="73"/>
        <v>0.254</v>
      </c>
      <c r="W87" s="17">
        <f>(V87*1000)/((3.1415/6)*1000*('[1]PM number'!$E$16*0.000000001)^3*EXP(4.5*1.8^2))</f>
        <v>3957784727347294</v>
      </c>
      <c r="X87" s="31">
        <f t="shared" si="85"/>
        <v>0.05424931784058345</v>
      </c>
      <c r="Y87" s="19">
        <v>46</v>
      </c>
      <c r="Z87" s="19">
        <v>5.5</v>
      </c>
      <c r="AA87" s="20">
        <f t="shared" si="86"/>
        <v>11.6</v>
      </c>
      <c r="AB87" s="20">
        <f t="shared" si="87"/>
        <v>6.3</v>
      </c>
      <c r="AC87" s="20">
        <f t="shared" si="88"/>
        <v>6.07</v>
      </c>
      <c r="AD87" s="20">
        <f t="shared" si="89"/>
        <v>7.5</v>
      </c>
      <c r="AE87" s="20">
        <f t="shared" si="74"/>
        <v>0.191</v>
      </c>
      <c r="AF87" s="17">
        <f>(AE87*1000)/((3.1415/6)*1000*('[1]PM number'!$D$16*0.000000001)^3*EXP(4.5*1.8^2))</f>
        <v>11983616699057716</v>
      </c>
      <c r="AG87" s="17">
        <f t="shared" si="90"/>
        <v>0.03503379155341995</v>
      </c>
      <c r="AH87" s="21">
        <f t="shared" si="68"/>
        <v>27.6</v>
      </c>
      <c r="AI87" s="21">
        <f t="shared" si="69"/>
        <v>180.5</v>
      </c>
      <c r="AJ87" s="21">
        <f t="shared" si="61"/>
        <v>247.7</v>
      </c>
      <c r="AK87" s="21">
        <f t="shared" si="70"/>
        <v>313</v>
      </c>
      <c r="AL87" s="21">
        <f t="shared" si="71"/>
        <v>5.5</v>
      </c>
      <c r="AM87" s="21">
        <f t="shared" si="62"/>
        <v>32658920758717108</v>
      </c>
      <c r="AN87" s="19">
        <v>1</v>
      </c>
      <c r="AO87" s="19">
        <v>80</v>
      </c>
      <c r="AP87" s="22">
        <f t="shared" si="91"/>
        <v>0.050727949219952835</v>
      </c>
      <c r="AQ87" s="22">
        <f t="shared" si="92"/>
        <v>8.6</v>
      </c>
      <c r="AR87" s="22">
        <f t="shared" si="93"/>
        <v>3.34</v>
      </c>
      <c r="AS87" s="22">
        <f t="shared" si="94"/>
        <v>4.1</v>
      </c>
      <c r="AT87" s="22">
        <f t="shared" si="75"/>
        <v>0.244</v>
      </c>
      <c r="AU87" s="23">
        <f t="shared" si="63"/>
        <v>182.6</v>
      </c>
      <c r="AV87" s="23">
        <f t="shared" si="64"/>
        <v>1.57</v>
      </c>
      <c r="AW87" s="23">
        <f t="shared" si="65"/>
        <v>0.61</v>
      </c>
      <c r="AX87" s="23">
        <f t="shared" si="66"/>
        <v>0.75</v>
      </c>
      <c r="AY87" s="23">
        <f t="shared" si="67"/>
        <v>44.6</v>
      </c>
      <c r="AZ87" s="23">
        <f>(AY87*1000)/((3.1415/6)*1000*('[1]PM number'!F20*0.000000001)^3*EXP(4.5*1.8^2))</f>
        <v>1.4688306783661391E+18</v>
      </c>
    </row>
    <row r="88" spans="1:52" ht="25.5">
      <c r="A88" s="24" t="s">
        <v>283</v>
      </c>
      <c r="B88" s="25" t="s">
        <v>275</v>
      </c>
      <c r="C88" s="24" t="s">
        <v>284</v>
      </c>
      <c r="D88" s="24" t="s">
        <v>285</v>
      </c>
      <c r="E88" s="26">
        <v>952</v>
      </c>
      <c r="F88" s="26">
        <v>1</v>
      </c>
      <c r="G88" s="27">
        <v>13</v>
      </c>
      <c r="H88" s="28">
        <v>5</v>
      </c>
      <c r="I88" s="17">
        <f t="shared" si="76"/>
        <v>6.5</v>
      </c>
      <c r="J88" s="17">
        <f t="shared" si="77"/>
        <v>3.3</v>
      </c>
      <c r="K88" s="17">
        <f t="shared" si="78"/>
        <v>20.98</v>
      </c>
      <c r="L88" s="17">
        <f t="shared" si="79"/>
        <v>26.9</v>
      </c>
      <c r="M88" s="18">
        <f t="shared" si="80"/>
        <v>0.021636498208441386</v>
      </c>
      <c r="N88" s="17">
        <f t="shared" si="72"/>
        <v>0.134</v>
      </c>
      <c r="O88" s="17">
        <f>(N88*1000)/((3.1415/6)*1000*('[1]PM number'!C16*0.000000001)^3*EXP(4.5*1.8^2))</f>
        <v>17100363286487182</v>
      </c>
      <c r="P88" s="19">
        <v>87</v>
      </c>
      <c r="Q88" s="19">
        <v>3</v>
      </c>
      <c r="R88" s="20">
        <f t="shared" si="81"/>
        <v>10.7</v>
      </c>
      <c r="S88" s="20">
        <f t="shared" si="82"/>
        <v>9.6</v>
      </c>
      <c r="T88" s="20">
        <f t="shared" si="83"/>
        <v>2.69</v>
      </c>
      <c r="U88" s="20">
        <f t="shared" si="84"/>
        <v>3.3</v>
      </c>
      <c r="V88" s="20">
        <f t="shared" si="73"/>
        <v>0.269</v>
      </c>
      <c r="W88" s="17">
        <f>(V88*1000)/((3.1415/6)*1000*('[1]PM number'!$E$16*0.000000001)^3*EXP(4.5*1.8^2))</f>
        <v>4191512171875677.5</v>
      </c>
      <c r="X88">
        <f t="shared" si="85"/>
        <v>0.05944076910224871</v>
      </c>
      <c r="Y88" s="19">
        <v>46</v>
      </c>
      <c r="Z88" s="19">
        <v>5.5</v>
      </c>
      <c r="AA88" s="20">
        <f t="shared" si="86"/>
        <v>12.3</v>
      </c>
      <c r="AB88" s="20">
        <f t="shared" si="87"/>
        <v>6.7</v>
      </c>
      <c r="AC88" s="20">
        <f t="shared" si="88"/>
        <v>5.36</v>
      </c>
      <c r="AD88" s="20">
        <f t="shared" si="89"/>
        <v>6.6</v>
      </c>
      <c r="AE88" s="20">
        <f t="shared" si="74"/>
        <v>0.2</v>
      </c>
      <c r="AF88" s="17">
        <f>(AE88*1000)/((3.1415/6)*1000*('[1]PM number'!$D$16*0.000000001)^3*EXP(4.5*1.8^2))</f>
        <v>12548289737233212</v>
      </c>
      <c r="AG88" s="17">
        <f t="shared" si="90"/>
        <v>0.037261490348599775</v>
      </c>
      <c r="AH88" s="21">
        <f t="shared" si="68"/>
        <v>29.5</v>
      </c>
      <c r="AI88" s="21">
        <f t="shared" si="69"/>
        <v>206.6</v>
      </c>
      <c r="AJ88" s="21">
        <f t="shared" si="61"/>
        <v>231.1</v>
      </c>
      <c r="AK88" s="21">
        <f t="shared" si="70"/>
        <v>291.3</v>
      </c>
      <c r="AL88" s="21">
        <f t="shared" si="71"/>
        <v>6.2</v>
      </c>
      <c r="AM88" s="21">
        <f t="shared" si="62"/>
        <v>33840165195596070</v>
      </c>
      <c r="AN88" s="19">
        <v>1</v>
      </c>
      <c r="AO88" s="19">
        <v>80</v>
      </c>
      <c r="AP88" s="22">
        <f t="shared" si="91"/>
        <v>0.05564063456643258</v>
      </c>
      <c r="AQ88" s="22">
        <f t="shared" si="92"/>
        <v>9.1</v>
      </c>
      <c r="AR88" s="22">
        <f t="shared" si="93"/>
        <v>2.95</v>
      </c>
      <c r="AS88" s="22">
        <f t="shared" si="94"/>
        <v>3.6</v>
      </c>
      <c r="AT88" s="22">
        <f t="shared" si="75"/>
        <v>0.258</v>
      </c>
      <c r="AU88" s="23">
        <f t="shared" si="63"/>
        <v>200.3</v>
      </c>
      <c r="AV88" s="23">
        <f t="shared" si="64"/>
        <v>1.82</v>
      </c>
      <c r="AW88" s="23">
        <f t="shared" si="65"/>
        <v>0.59</v>
      </c>
      <c r="AX88" s="23">
        <f t="shared" si="66"/>
        <v>0.72</v>
      </c>
      <c r="AY88" s="23">
        <f t="shared" si="67"/>
        <v>51.7</v>
      </c>
      <c r="AZ88" s="23">
        <f>(AY88*1000)/((3.1415/6)*1000*('[1]PM number'!F20*0.000000001)^3*EXP(4.5*1.8^2))</f>
        <v>1.7026579836665784E+18</v>
      </c>
    </row>
    <row r="89" spans="1:52" ht="12.75">
      <c r="A89" s="24" t="s">
        <v>286</v>
      </c>
      <c r="B89" s="25" t="s">
        <v>287</v>
      </c>
      <c r="C89" s="24" t="s">
        <v>288</v>
      </c>
      <c r="D89" s="24" t="s">
        <v>289</v>
      </c>
      <c r="E89" s="26">
        <v>432</v>
      </c>
      <c r="F89" s="26">
        <v>1</v>
      </c>
      <c r="G89" s="27">
        <v>13</v>
      </c>
      <c r="H89" s="28">
        <v>5</v>
      </c>
      <c r="I89" s="17">
        <f t="shared" si="76"/>
        <v>4.5</v>
      </c>
      <c r="J89" s="17">
        <f t="shared" si="77"/>
        <v>2.1</v>
      </c>
      <c r="K89" s="17">
        <f t="shared" si="78"/>
        <v>49.25</v>
      </c>
      <c r="L89" s="17">
        <f t="shared" si="79"/>
        <v>64.7</v>
      </c>
      <c r="M89" s="18">
        <f t="shared" si="80"/>
        <v>0.01487469625373622</v>
      </c>
      <c r="N89" s="17">
        <f t="shared" si="72"/>
        <v>0.119</v>
      </c>
      <c r="O89" s="17">
        <f>(N89*1000)/((3.1415/6)*1000*('[1]PM number'!C16*0.000000001)^3*EXP(4.5*1.8^2))</f>
        <v>15186143515611752</v>
      </c>
      <c r="P89" s="19">
        <v>87</v>
      </c>
      <c r="Q89" s="19">
        <v>3</v>
      </c>
      <c r="R89" s="20">
        <f t="shared" si="81"/>
        <v>6</v>
      </c>
      <c r="S89" s="20">
        <f t="shared" si="82"/>
        <v>6.1</v>
      </c>
      <c r="T89" s="20">
        <f t="shared" si="83"/>
        <v>6.32</v>
      </c>
      <c r="U89" s="20">
        <f t="shared" si="84"/>
        <v>7.8</v>
      </c>
      <c r="V89" s="20">
        <f t="shared" si="73"/>
        <v>0.188</v>
      </c>
      <c r="W89" s="17">
        <f>(V89*1000)/((3.1415/6)*1000*('[1]PM number'!$E$16*0.000000001)^3*EXP(4.5*1.8^2))</f>
        <v>2929383971422406.5</v>
      </c>
      <c r="X89">
        <f t="shared" si="85"/>
        <v>0.033265156521591135</v>
      </c>
      <c r="Y89" s="19">
        <v>46</v>
      </c>
      <c r="Z89" s="19">
        <v>5.5</v>
      </c>
      <c r="AA89" s="20">
        <f t="shared" si="86"/>
        <v>8.3</v>
      </c>
      <c r="AB89" s="20">
        <f t="shared" si="87"/>
        <v>4.3</v>
      </c>
      <c r="AC89" s="20">
        <f t="shared" si="88"/>
        <v>12.58</v>
      </c>
      <c r="AD89" s="20">
        <f t="shared" si="89"/>
        <v>15.9</v>
      </c>
      <c r="AE89" s="20">
        <f t="shared" si="74"/>
        <v>0.151</v>
      </c>
      <c r="AF89" s="17">
        <f>(AE89*1000)/((3.1415/6)*1000*('[1]PM number'!$D$16*0.000000001)^3*EXP(4.5*1.8^2))</f>
        <v>9473958751611074</v>
      </c>
      <c r="AG89" s="17">
        <f t="shared" si="90"/>
        <v>0.02521636477627867</v>
      </c>
      <c r="AH89" s="21">
        <f t="shared" si="68"/>
        <v>18.8</v>
      </c>
      <c r="AI89" s="21">
        <f t="shared" si="69"/>
        <v>81.7</v>
      </c>
      <c r="AJ89" s="21">
        <f t="shared" si="61"/>
        <v>364</v>
      </c>
      <c r="AK89" s="21">
        <f t="shared" si="70"/>
        <v>469.9</v>
      </c>
      <c r="AL89" s="21">
        <f t="shared" si="71"/>
        <v>2.9</v>
      </c>
      <c r="AM89" s="21">
        <f t="shared" si="62"/>
        <v>27589486238645230</v>
      </c>
      <c r="AN89" s="19">
        <v>1</v>
      </c>
      <c r="AO89" s="19">
        <v>80</v>
      </c>
      <c r="AP89" s="22">
        <f t="shared" si="91"/>
        <v>0.031673243101418835</v>
      </c>
      <c r="AQ89" s="22">
        <f t="shared" si="92"/>
        <v>5.8</v>
      </c>
      <c r="AR89" s="22">
        <f t="shared" si="93"/>
        <v>6.92</v>
      </c>
      <c r="AS89" s="22">
        <f t="shared" si="94"/>
        <v>8.6</v>
      </c>
      <c r="AT89" s="22">
        <f t="shared" si="75"/>
        <v>0.182</v>
      </c>
      <c r="AU89" s="23">
        <f t="shared" si="63"/>
        <v>114</v>
      </c>
      <c r="AV89" s="23">
        <f t="shared" si="64"/>
        <v>0.66</v>
      </c>
      <c r="AW89" s="23">
        <f t="shared" si="65"/>
        <v>0.79</v>
      </c>
      <c r="AX89" s="23">
        <f t="shared" si="66"/>
        <v>0.98</v>
      </c>
      <c r="AY89" s="23">
        <f t="shared" si="67"/>
        <v>20.8</v>
      </c>
      <c r="AZ89" s="23">
        <f>(AY89*1000)/((3.1415/6)*1000*('[1]PM number'!$F$12*0.000000001)^3*EXP(4.5*1.8^2))</f>
        <v>6.148692978797912E+17</v>
      </c>
    </row>
    <row r="90" spans="1:52" ht="25.5">
      <c r="A90" s="24" t="s">
        <v>290</v>
      </c>
      <c r="B90" s="25" t="s">
        <v>291</v>
      </c>
      <c r="C90" s="24" t="s">
        <v>292</v>
      </c>
      <c r="D90" s="24" t="s">
        <v>293</v>
      </c>
      <c r="E90" s="26">
        <v>402</v>
      </c>
      <c r="F90" s="26">
        <v>1</v>
      </c>
      <c r="G90" s="27">
        <v>13</v>
      </c>
      <c r="H90" s="28">
        <v>5</v>
      </c>
      <c r="I90" s="17">
        <f t="shared" si="76"/>
        <v>4.3</v>
      </c>
      <c r="J90" s="17">
        <f t="shared" si="77"/>
        <v>2</v>
      </c>
      <c r="K90" s="17">
        <f t="shared" si="78"/>
        <v>53.23</v>
      </c>
      <c r="L90" s="17">
        <f t="shared" si="79"/>
        <v>70.1</v>
      </c>
      <c r="M90" s="18">
        <f t="shared" si="80"/>
        <v>0.014339496540548141</v>
      </c>
      <c r="N90" s="17">
        <f t="shared" si="72"/>
        <v>0.118</v>
      </c>
      <c r="O90" s="17">
        <f>(N90*1000)/((3.1415/6)*1000*('[1]PM number'!C16*0.000000001)^3*EXP(4.5*1.8^2))</f>
        <v>15058528864220056</v>
      </c>
      <c r="P90" s="19">
        <v>87</v>
      </c>
      <c r="Q90" s="19">
        <v>3</v>
      </c>
      <c r="R90" s="20">
        <f t="shared" si="81"/>
        <v>5.7</v>
      </c>
      <c r="S90" s="20">
        <f t="shared" si="82"/>
        <v>5.9</v>
      </c>
      <c r="T90" s="20">
        <f t="shared" si="83"/>
        <v>6.83</v>
      </c>
      <c r="U90" s="20">
        <f t="shared" si="84"/>
        <v>8.5</v>
      </c>
      <c r="V90" s="20">
        <f t="shared" si="73"/>
        <v>0.182</v>
      </c>
      <c r="W90" s="17">
        <f>(V90*1000)/((3.1415/6)*1000*('[1]PM number'!$E$16*0.000000001)^3*EXP(4.5*1.8^2))</f>
        <v>2835892993611053</v>
      </c>
      <c r="X90" s="31">
        <f t="shared" si="85"/>
        <v>0.03188567716549977</v>
      </c>
      <c r="Y90" s="19">
        <v>46</v>
      </c>
      <c r="Z90" s="19">
        <v>5.5</v>
      </c>
      <c r="AA90" s="20">
        <f t="shared" si="86"/>
        <v>8.1</v>
      </c>
      <c r="AB90" s="20">
        <f t="shared" si="87"/>
        <v>4.1</v>
      </c>
      <c r="AC90" s="20">
        <f t="shared" si="88"/>
        <v>13.6</v>
      </c>
      <c r="AD90" s="20">
        <f t="shared" si="89"/>
        <v>17.2</v>
      </c>
      <c r="AE90" s="20">
        <f t="shared" si="74"/>
        <v>0.148</v>
      </c>
      <c r="AF90" s="17">
        <f>(AE90*1000)/((3.1415/6)*1000*('[1]PM number'!$D$16*0.000000001)^3*EXP(4.5*1.8^2))</f>
        <v>9285734405552576</v>
      </c>
      <c r="AG90" s="17">
        <f t="shared" si="90"/>
        <v>0.024625900449550372</v>
      </c>
      <c r="AH90" s="21">
        <f t="shared" si="68"/>
        <v>18.1</v>
      </c>
      <c r="AI90" s="21">
        <f t="shared" si="69"/>
        <v>75.4</v>
      </c>
      <c r="AJ90" s="21">
        <f t="shared" si="61"/>
        <v>378</v>
      </c>
      <c r="AK90" s="21">
        <f t="shared" si="70"/>
        <v>489.2</v>
      </c>
      <c r="AL90" s="21">
        <f t="shared" si="71"/>
        <v>2.7</v>
      </c>
      <c r="AM90" s="21">
        <f t="shared" si="62"/>
        <v>27180156263383684</v>
      </c>
      <c r="AN90" s="19">
        <v>1</v>
      </c>
      <c r="AO90" s="19">
        <v>80</v>
      </c>
      <c r="AP90" s="22">
        <f t="shared" si="91"/>
        <v>0.03047995247073029</v>
      </c>
      <c r="AQ90" s="22">
        <f t="shared" si="92"/>
        <v>5.6</v>
      </c>
      <c r="AR90" s="22">
        <f t="shared" si="93"/>
        <v>7.48</v>
      </c>
      <c r="AS90" s="22">
        <f t="shared" si="94"/>
        <v>9.3</v>
      </c>
      <c r="AT90" s="22">
        <f t="shared" si="75"/>
        <v>0.177</v>
      </c>
      <c r="AU90" s="23">
        <f t="shared" si="63"/>
        <v>109.7</v>
      </c>
      <c r="AV90" s="23">
        <f t="shared" si="64"/>
        <v>0.61</v>
      </c>
      <c r="AW90" s="23">
        <f t="shared" si="65"/>
        <v>0.82</v>
      </c>
      <c r="AX90" s="23">
        <f t="shared" si="66"/>
        <v>1.02</v>
      </c>
      <c r="AY90" s="23">
        <f t="shared" si="67"/>
        <v>19.4</v>
      </c>
      <c r="AZ90" s="23">
        <f>(AY90*1000)/((3.1415/6)*1000*('[1]PM number'!$F$12*0.000000001)^3*EXP(4.5*1.8^2))</f>
        <v>5.734838643686514E+17</v>
      </c>
    </row>
    <row r="91" spans="1:52" ht="25.5">
      <c r="A91" s="24" t="s">
        <v>290</v>
      </c>
      <c r="B91" s="25" t="s">
        <v>291</v>
      </c>
      <c r="C91" s="24" t="s">
        <v>292</v>
      </c>
      <c r="D91" s="24" t="s">
        <v>294</v>
      </c>
      <c r="E91" s="26">
        <v>402</v>
      </c>
      <c r="F91" s="26">
        <v>1</v>
      </c>
      <c r="G91" s="27">
        <v>13</v>
      </c>
      <c r="H91" s="28">
        <v>5</v>
      </c>
      <c r="I91" s="17">
        <f t="shared" si="76"/>
        <v>4.3</v>
      </c>
      <c r="J91" s="17">
        <f t="shared" si="77"/>
        <v>2</v>
      </c>
      <c r="K91" s="17">
        <f t="shared" si="78"/>
        <v>53.23</v>
      </c>
      <c r="L91" s="17">
        <f t="shared" si="79"/>
        <v>70.1</v>
      </c>
      <c r="M91" s="18">
        <f t="shared" si="80"/>
        <v>0.014339496540548141</v>
      </c>
      <c r="N91" s="17">
        <f t="shared" si="72"/>
        <v>0.118</v>
      </c>
      <c r="O91" s="17">
        <f>(N91*1000)/((3.1415/6)*1000*('[1]PM number'!C16*0.000000001)^3*EXP(4.5*1.8^2))</f>
        <v>15058528864220056</v>
      </c>
      <c r="P91" s="19">
        <v>87</v>
      </c>
      <c r="Q91" s="19">
        <v>3</v>
      </c>
      <c r="R91" s="20">
        <f t="shared" si="81"/>
        <v>5.7</v>
      </c>
      <c r="S91" s="20">
        <f t="shared" si="82"/>
        <v>5.9</v>
      </c>
      <c r="T91" s="20">
        <f t="shared" si="83"/>
        <v>6.83</v>
      </c>
      <c r="U91" s="20">
        <f t="shared" si="84"/>
        <v>8.5</v>
      </c>
      <c r="V91" s="20">
        <f t="shared" si="73"/>
        <v>0.182</v>
      </c>
      <c r="W91" s="17">
        <f>(V91*1000)/((3.1415/6)*1000*('[1]PM number'!$E$16*0.000000001)^3*EXP(4.5*1.8^2))</f>
        <v>2835892993611053</v>
      </c>
      <c r="X91">
        <f t="shared" si="85"/>
        <v>0.03188567716549977</v>
      </c>
      <c r="Y91" s="19">
        <v>46</v>
      </c>
      <c r="Z91" s="19">
        <v>5.5</v>
      </c>
      <c r="AA91" s="20">
        <f t="shared" si="86"/>
        <v>8.1</v>
      </c>
      <c r="AB91" s="20">
        <f t="shared" si="87"/>
        <v>4.1</v>
      </c>
      <c r="AC91" s="20">
        <f t="shared" si="88"/>
        <v>13.6</v>
      </c>
      <c r="AD91" s="20">
        <f t="shared" si="89"/>
        <v>17.2</v>
      </c>
      <c r="AE91" s="20">
        <f t="shared" si="74"/>
        <v>0.148</v>
      </c>
      <c r="AF91" s="17">
        <f>(AE91*1000)/((3.1415/6)*1000*('[1]PM number'!$D$16*0.000000001)^3*EXP(4.5*1.8^2))</f>
        <v>9285734405552576</v>
      </c>
      <c r="AG91" s="17">
        <f t="shared" si="90"/>
        <v>0.024625900449550372</v>
      </c>
      <c r="AH91" s="21">
        <f t="shared" si="68"/>
        <v>18.1</v>
      </c>
      <c r="AI91" s="21">
        <f t="shared" si="69"/>
        <v>75.4</v>
      </c>
      <c r="AJ91" s="21">
        <f t="shared" si="61"/>
        <v>378</v>
      </c>
      <c r="AK91" s="21">
        <f t="shared" si="70"/>
        <v>489.2</v>
      </c>
      <c r="AL91" s="21">
        <f t="shared" si="71"/>
        <v>2.7</v>
      </c>
      <c r="AM91" s="21">
        <f t="shared" si="62"/>
        <v>27180156263383684</v>
      </c>
      <c r="AN91" s="19">
        <v>1</v>
      </c>
      <c r="AO91" s="19">
        <v>80</v>
      </c>
      <c r="AP91" s="22">
        <f t="shared" si="91"/>
        <v>0.03047995247073029</v>
      </c>
      <c r="AQ91" s="22">
        <f t="shared" si="92"/>
        <v>5.6</v>
      </c>
      <c r="AR91" s="22">
        <f t="shared" si="93"/>
        <v>7.48</v>
      </c>
      <c r="AS91" s="22">
        <f t="shared" si="94"/>
        <v>9.3</v>
      </c>
      <c r="AT91" s="22">
        <f t="shared" si="75"/>
        <v>0.177</v>
      </c>
      <c r="AU91" s="23">
        <f t="shared" si="63"/>
        <v>109.7</v>
      </c>
      <c r="AV91" s="23">
        <f t="shared" si="64"/>
        <v>0.61</v>
      </c>
      <c r="AW91" s="23">
        <f t="shared" si="65"/>
        <v>0.82</v>
      </c>
      <c r="AX91" s="23">
        <f t="shared" si="66"/>
        <v>1.02</v>
      </c>
      <c r="AY91" s="23">
        <f t="shared" si="67"/>
        <v>19.4</v>
      </c>
      <c r="AZ91" s="23">
        <f>(AY91*1000)/((3.1415/6)*1000*('[1]PM number'!$F$12*0.000000001)^3*EXP(4.5*1.8^2))</f>
        <v>5.734838643686514E+17</v>
      </c>
    </row>
    <row r="92" spans="1:52" ht="25.5">
      <c r="A92" s="24" t="s">
        <v>295</v>
      </c>
      <c r="B92" s="25" t="s">
        <v>296</v>
      </c>
      <c r="C92" s="24" t="s">
        <v>297</v>
      </c>
      <c r="D92" s="24" t="s">
        <v>210</v>
      </c>
      <c r="E92" s="26">
        <v>563</v>
      </c>
      <c r="F92" s="26">
        <v>1</v>
      </c>
      <c r="G92" s="27">
        <v>13</v>
      </c>
      <c r="H92" s="28">
        <v>5</v>
      </c>
      <c r="I92" s="17">
        <f t="shared" si="76"/>
        <v>5.1</v>
      </c>
      <c r="J92" s="17">
        <f t="shared" si="77"/>
        <v>2.4</v>
      </c>
      <c r="K92" s="17">
        <f t="shared" si="78"/>
        <v>37</v>
      </c>
      <c r="L92" s="17">
        <f t="shared" si="79"/>
        <v>48.2</v>
      </c>
      <c r="M92" s="18">
        <f t="shared" si="80"/>
        <v>0.016967268820499072</v>
      </c>
      <c r="N92" s="17">
        <f t="shared" si="72"/>
        <v>0.123</v>
      </c>
      <c r="O92" s="17">
        <f>(N92*1000)/((3.1415/6)*1000*('[1]PM number'!C16*0.000000001)^3*EXP(4.5*1.8^2))</f>
        <v>15696602121178532</v>
      </c>
      <c r="P92" s="19">
        <v>87</v>
      </c>
      <c r="Q92" s="19">
        <v>3</v>
      </c>
      <c r="R92" s="20">
        <f t="shared" si="81"/>
        <v>7.2</v>
      </c>
      <c r="S92" s="20">
        <f t="shared" si="82"/>
        <v>7.1</v>
      </c>
      <c r="T92" s="20">
        <f t="shared" si="83"/>
        <v>4.75</v>
      </c>
      <c r="U92" s="20">
        <f t="shared" si="84"/>
        <v>5.8</v>
      </c>
      <c r="V92" s="20">
        <f t="shared" si="73"/>
        <v>0.21</v>
      </c>
      <c r="W92" s="17">
        <f>(V92*1000)/((3.1415/6)*1000*('[1]PM number'!$E$16*0.000000001)^3*EXP(4.5*1.8^2))</f>
        <v>3272184223397369</v>
      </c>
      <c r="X92">
        <f t="shared" si="85"/>
        <v>0.03974463453909617</v>
      </c>
      <c r="Y92" s="19">
        <v>46</v>
      </c>
      <c r="Z92" s="19">
        <v>5.5</v>
      </c>
      <c r="AA92" s="20">
        <f t="shared" si="86"/>
        <v>9.1</v>
      </c>
      <c r="AB92" s="20">
        <f t="shared" si="87"/>
        <v>5</v>
      </c>
      <c r="AC92" s="20">
        <f t="shared" si="88"/>
        <v>9.45</v>
      </c>
      <c r="AD92" s="20">
        <f t="shared" si="89"/>
        <v>11.9</v>
      </c>
      <c r="AE92" s="20">
        <f t="shared" si="74"/>
        <v>0.164</v>
      </c>
      <c r="AF92" s="17">
        <f>(AE92*1000)/((3.1415/6)*1000*('[1]PM number'!$D$16*0.000000001)^3*EXP(4.5*1.8^2))</f>
        <v>10289597584531234</v>
      </c>
      <c r="AG92" s="17">
        <f t="shared" si="90"/>
        <v>0.027677450458484115</v>
      </c>
      <c r="AH92" s="21">
        <f t="shared" si="68"/>
        <v>21.4</v>
      </c>
      <c r="AI92" s="21">
        <f t="shared" si="69"/>
        <v>108.9</v>
      </c>
      <c r="AJ92" s="21">
        <f t="shared" si="61"/>
        <v>308.9</v>
      </c>
      <c r="AK92" s="21">
        <f t="shared" si="70"/>
        <v>395.9</v>
      </c>
      <c r="AL92" s="21">
        <f t="shared" si="71"/>
        <v>3.6</v>
      </c>
      <c r="AM92" s="21">
        <f t="shared" si="62"/>
        <v>29258383929107136</v>
      </c>
      <c r="AN92" s="19">
        <v>1</v>
      </c>
      <c r="AO92" s="19">
        <v>80</v>
      </c>
      <c r="AP92" s="22">
        <f t="shared" si="91"/>
        <v>0.03746693258607496</v>
      </c>
      <c r="AQ92" s="22">
        <f t="shared" si="92"/>
        <v>6.8</v>
      </c>
      <c r="AR92" s="22">
        <f t="shared" si="93"/>
        <v>5.2</v>
      </c>
      <c r="AS92" s="22">
        <f t="shared" si="94"/>
        <v>6.4</v>
      </c>
      <c r="AT92" s="22">
        <f t="shared" si="75"/>
        <v>0.202</v>
      </c>
      <c r="AU92" s="23">
        <f t="shared" si="63"/>
        <v>134.9</v>
      </c>
      <c r="AV92" s="23">
        <f t="shared" si="64"/>
        <v>0.92</v>
      </c>
      <c r="AW92" s="23">
        <f t="shared" si="65"/>
        <v>0.7</v>
      </c>
      <c r="AX92" s="23">
        <f t="shared" si="66"/>
        <v>0.86</v>
      </c>
      <c r="AY92" s="23">
        <f t="shared" si="67"/>
        <v>27.2</v>
      </c>
      <c r="AZ92" s="23">
        <f>(AY92*1000)/((3.1415/6)*1000*('[1]PM number'!$F$12*0.000000001)^3*EXP(4.5*1.8^2))</f>
        <v>8.040598510735731E+17</v>
      </c>
    </row>
    <row r="93" spans="1:52" ht="25.5">
      <c r="A93" s="24" t="s">
        <v>295</v>
      </c>
      <c r="B93" s="25" t="s">
        <v>287</v>
      </c>
      <c r="C93" s="24" t="s">
        <v>298</v>
      </c>
      <c r="D93" s="24" t="s">
        <v>210</v>
      </c>
      <c r="E93" s="26">
        <v>563</v>
      </c>
      <c r="F93" s="26">
        <v>1</v>
      </c>
      <c r="G93" s="27">
        <v>13</v>
      </c>
      <c r="H93" s="28">
        <v>5</v>
      </c>
      <c r="I93" s="17">
        <f t="shared" si="76"/>
        <v>5.1</v>
      </c>
      <c r="J93" s="17">
        <f t="shared" si="77"/>
        <v>2.4</v>
      </c>
      <c r="K93" s="17">
        <f t="shared" si="78"/>
        <v>37</v>
      </c>
      <c r="L93" s="17">
        <f t="shared" si="79"/>
        <v>48.2</v>
      </c>
      <c r="M93" s="18">
        <f t="shared" si="80"/>
        <v>0.016967268820499072</v>
      </c>
      <c r="N93" s="17">
        <f t="shared" si="72"/>
        <v>0.123</v>
      </c>
      <c r="O93" s="17">
        <f>(N93*1000)/((3.1415/6)*1000*('[1]PM number'!C16*0.000000001)^3*EXP(4.5*1.8^2))</f>
        <v>15696602121178532</v>
      </c>
      <c r="P93" s="19">
        <v>87</v>
      </c>
      <c r="Q93" s="19">
        <v>3</v>
      </c>
      <c r="R93" s="20">
        <f t="shared" si="81"/>
        <v>7.2</v>
      </c>
      <c r="S93" s="20">
        <f t="shared" si="82"/>
        <v>7.1</v>
      </c>
      <c r="T93" s="20">
        <f t="shared" si="83"/>
        <v>4.75</v>
      </c>
      <c r="U93" s="20">
        <f t="shared" si="84"/>
        <v>5.8</v>
      </c>
      <c r="V93" s="20">
        <f t="shared" si="73"/>
        <v>0.21</v>
      </c>
      <c r="W93" s="17">
        <f>(V93*1000)/((3.1415/6)*1000*('[1]PM number'!$E$16*0.000000001)^3*EXP(4.5*1.8^2))</f>
        <v>3272184223397369</v>
      </c>
      <c r="X93">
        <f t="shared" si="85"/>
        <v>0.03974463453909617</v>
      </c>
      <c r="Y93" s="19">
        <v>46</v>
      </c>
      <c r="Z93" s="19">
        <v>5.5</v>
      </c>
      <c r="AA93" s="20">
        <f t="shared" si="86"/>
        <v>9.1</v>
      </c>
      <c r="AB93" s="20">
        <f t="shared" si="87"/>
        <v>5</v>
      </c>
      <c r="AC93" s="20">
        <f t="shared" si="88"/>
        <v>9.45</v>
      </c>
      <c r="AD93" s="20">
        <f t="shared" si="89"/>
        <v>11.9</v>
      </c>
      <c r="AE93" s="20">
        <f t="shared" si="74"/>
        <v>0.164</v>
      </c>
      <c r="AF93" s="17">
        <f>(AE93*1000)/((3.1415/6)*1000*('[1]PM number'!$D$16*0.000000001)^3*EXP(4.5*1.8^2))</f>
        <v>10289597584531234</v>
      </c>
      <c r="AG93" s="17">
        <f t="shared" si="90"/>
        <v>0.027677450458484115</v>
      </c>
      <c r="AH93" s="21">
        <f t="shared" si="68"/>
        <v>21.4</v>
      </c>
      <c r="AI93" s="21">
        <f t="shared" si="69"/>
        <v>108.9</v>
      </c>
      <c r="AJ93" s="21">
        <f t="shared" si="61"/>
        <v>308.9</v>
      </c>
      <c r="AK93" s="21">
        <f t="shared" si="70"/>
        <v>395.9</v>
      </c>
      <c r="AL93" s="21">
        <f t="shared" si="71"/>
        <v>3.6</v>
      </c>
      <c r="AM93" s="21">
        <f t="shared" si="62"/>
        <v>29258383929107136</v>
      </c>
      <c r="AN93" s="19">
        <v>1</v>
      </c>
      <c r="AO93" s="19">
        <v>80</v>
      </c>
      <c r="AP93" s="22">
        <f t="shared" si="91"/>
        <v>0.03746693258607496</v>
      </c>
      <c r="AQ93" s="22">
        <f t="shared" si="92"/>
        <v>6.8</v>
      </c>
      <c r="AR93" s="22">
        <f t="shared" si="93"/>
        <v>5.2</v>
      </c>
      <c r="AS93" s="22">
        <f t="shared" si="94"/>
        <v>6.4</v>
      </c>
      <c r="AT93" s="22">
        <f t="shared" si="75"/>
        <v>0.202</v>
      </c>
      <c r="AU93" s="23">
        <f t="shared" si="63"/>
        <v>134.9</v>
      </c>
      <c r="AV93" s="23">
        <f t="shared" si="64"/>
        <v>0.92</v>
      </c>
      <c r="AW93" s="23">
        <f t="shared" si="65"/>
        <v>0.7</v>
      </c>
      <c r="AX93" s="23">
        <f t="shared" si="66"/>
        <v>0.86</v>
      </c>
      <c r="AY93" s="23">
        <f t="shared" si="67"/>
        <v>27.2</v>
      </c>
      <c r="AZ93" s="23">
        <f>(AY93*1000)/((3.1415/6)*1000*('[1]PM number'!$F$12*0.000000001)^3*EXP(4.5*1.8^2))</f>
        <v>8.040598510735731E+17</v>
      </c>
    </row>
    <row r="94" spans="1:52" ht="25.5">
      <c r="A94" s="30" t="s">
        <v>295</v>
      </c>
      <c r="B94" s="25" t="s">
        <v>299</v>
      </c>
      <c r="C94" s="24" t="s">
        <v>300</v>
      </c>
      <c r="D94" s="24" t="s">
        <v>210</v>
      </c>
      <c r="E94" s="26">
        <v>563</v>
      </c>
      <c r="F94" s="26">
        <v>1</v>
      </c>
      <c r="G94" s="27">
        <v>13</v>
      </c>
      <c r="H94" s="28">
        <v>5</v>
      </c>
      <c r="I94" s="17">
        <f t="shared" si="76"/>
        <v>5.1</v>
      </c>
      <c r="J94" s="17">
        <f t="shared" si="77"/>
        <v>2.4</v>
      </c>
      <c r="K94" s="17">
        <f t="shared" si="78"/>
        <v>37</v>
      </c>
      <c r="L94" s="17">
        <f t="shared" si="79"/>
        <v>48.2</v>
      </c>
      <c r="M94" s="18">
        <f t="shared" si="80"/>
        <v>0.016967268820499072</v>
      </c>
      <c r="N94" s="17">
        <f t="shared" si="72"/>
        <v>0.123</v>
      </c>
      <c r="O94" s="17">
        <f>(N94*1000)/((3.1415/6)*1000*('[1]PM number'!C16*0.000000001)^3*EXP(4.5*1.8^2))</f>
        <v>15696602121178532</v>
      </c>
      <c r="P94" s="19">
        <v>87</v>
      </c>
      <c r="Q94" s="19">
        <v>3</v>
      </c>
      <c r="R94" s="20">
        <f t="shared" si="81"/>
        <v>7.2</v>
      </c>
      <c r="S94" s="20">
        <f t="shared" si="82"/>
        <v>7.1</v>
      </c>
      <c r="T94" s="20">
        <f t="shared" si="83"/>
        <v>4.75</v>
      </c>
      <c r="U94" s="20">
        <f t="shared" si="84"/>
        <v>5.8</v>
      </c>
      <c r="V94" s="20">
        <f t="shared" si="73"/>
        <v>0.21</v>
      </c>
      <c r="W94" s="17">
        <f>(V94*1000)/((3.1415/6)*1000*('[1]PM number'!$E$16*0.000000001)^3*EXP(4.5*1.8^2))</f>
        <v>3272184223397369</v>
      </c>
      <c r="X94">
        <f t="shared" si="85"/>
        <v>0.03974463453909617</v>
      </c>
      <c r="Y94" s="19">
        <v>46</v>
      </c>
      <c r="Z94" s="19">
        <v>5.5</v>
      </c>
      <c r="AA94" s="20">
        <f t="shared" si="86"/>
        <v>9.1</v>
      </c>
      <c r="AB94" s="20">
        <f t="shared" si="87"/>
        <v>5</v>
      </c>
      <c r="AC94" s="20">
        <f t="shared" si="88"/>
        <v>9.45</v>
      </c>
      <c r="AD94" s="20">
        <f t="shared" si="89"/>
        <v>11.9</v>
      </c>
      <c r="AE94" s="20">
        <f t="shared" si="74"/>
        <v>0.164</v>
      </c>
      <c r="AF94" s="17">
        <f>(AE94*1000)/((3.1415/6)*1000*('[1]PM number'!$D$16*0.000000001)^3*EXP(4.5*1.8^2))</f>
        <v>10289597584531234</v>
      </c>
      <c r="AG94" s="17">
        <f t="shared" si="90"/>
        <v>0.027677450458484115</v>
      </c>
      <c r="AH94" s="21">
        <f t="shared" si="68"/>
        <v>21.4</v>
      </c>
      <c r="AI94" s="21">
        <f t="shared" si="69"/>
        <v>108.9</v>
      </c>
      <c r="AJ94" s="21">
        <f t="shared" si="61"/>
        <v>308.9</v>
      </c>
      <c r="AK94" s="21">
        <f t="shared" si="70"/>
        <v>395.9</v>
      </c>
      <c r="AL94" s="21">
        <f t="shared" si="71"/>
        <v>3.6</v>
      </c>
      <c r="AM94" s="21">
        <f t="shared" si="62"/>
        <v>29258383929107136</v>
      </c>
      <c r="AN94" s="19">
        <v>1</v>
      </c>
      <c r="AO94" s="19">
        <v>80</v>
      </c>
      <c r="AP94" s="22">
        <f t="shared" si="91"/>
        <v>0.03746693258607496</v>
      </c>
      <c r="AQ94" s="22">
        <f t="shared" si="92"/>
        <v>6.8</v>
      </c>
      <c r="AR94" s="22">
        <f t="shared" si="93"/>
        <v>5.2</v>
      </c>
      <c r="AS94" s="22">
        <f t="shared" si="94"/>
        <v>6.4</v>
      </c>
      <c r="AT94" s="22">
        <f t="shared" si="75"/>
        <v>0.202</v>
      </c>
      <c r="AU94" s="23">
        <f t="shared" si="63"/>
        <v>134.9</v>
      </c>
      <c r="AV94" s="23">
        <f t="shared" si="64"/>
        <v>0.92</v>
      </c>
      <c r="AW94" s="23">
        <f t="shared" si="65"/>
        <v>0.7</v>
      </c>
      <c r="AX94" s="23">
        <f t="shared" si="66"/>
        <v>0.86</v>
      </c>
      <c r="AY94" s="23">
        <f t="shared" si="67"/>
        <v>27.2</v>
      </c>
      <c r="AZ94" s="23">
        <f>(AY94*1000)/((3.1415/6)*1000*('[1]PM number'!$F$12*0.000000001)^3*EXP(4.5*1.8^2))</f>
        <v>8.040598510735731E+17</v>
      </c>
    </row>
    <row r="95" spans="1:52" ht="38.25">
      <c r="A95" s="24" t="s">
        <v>295</v>
      </c>
      <c r="B95" s="29" t="s">
        <v>301</v>
      </c>
      <c r="C95" s="30" t="s">
        <v>302</v>
      </c>
      <c r="D95" s="30" t="s">
        <v>303</v>
      </c>
      <c r="E95" s="47">
        <v>563</v>
      </c>
      <c r="F95" s="26">
        <v>1</v>
      </c>
      <c r="G95" s="27">
        <v>13</v>
      </c>
      <c r="H95" s="28">
        <v>5</v>
      </c>
      <c r="I95" s="17">
        <f t="shared" si="76"/>
        <v>5.1</v>
      </c>
      <c r="J95" s="17">
        <f t="shared" si="77"/>
        <v>2.4</v>
      </c>
      <c r="K95" s="17">
        <f t="shared" si="78"/>
        <v>37</v>
      </c>
      <c r="L95" s="17">
        <f t="shared" si="79"/>
        <v>48.2</v>
      </c>
      <c r="M95" s="18">
        <f t="shared" si="80"/>
        <v>0.016967268820499072</v>
      </c>
      <c r="N95" s="17">
        <f t="shared" si="72"/>
        <v>0.123</v>
      </c>
      <c r="O95" s="17">
        <f>(N95*1000)/((3.1415/6)*1000*('[1]PM number'!C16*0.000000001)^3*EXP(4.5*1.8^2))</f>
        <v>15696602121178532</v>
      </c>
      <c r="P95" s="19">
        <v>87</v>
      </c>
      <c r="Q95" s="19">
        <v>3</v>
      </c>
      <c r="R95" s="20">
        <f t="shared" si="81"/>
        <v>7.2</v>
      </c>
      <c r="S95" s="20">
        <f t="shared" si="82"/>
        <v>7.1</v>
      </c>
      <c r="T95" s="20">
        <f t="shared" si="83"/>
        <v>4.75</v>
      </c>
      <c r="U95" s="20">
        <f t="shared" si="84"/>
        <v>5.8</v>
      </c>
      <c r="V95" s="20">
        <f t="shared" si="73"/>
        <v>0.21</v>
      </c>
      <c r="W95" s="17">
        <f>(V95*1000)/((3.1415/6)*1000*('[1]PM number'!$E$16*0.000000001)^3*EXP(4.5*1.8^2))</f>
        <v>3272184223397369</v>
      </c>
      <c r="X95">
        <f t="shared" si="85"/>
        <v>0.03974463453909617</v>
      </c>
      <c r="Y95" s="19">
        <v>46</v>
      </c>
      <c r="Z95" s="19">
        <v>5.5</v>
      </c>
      <c r="AA95" s="20">
        <f t="shared" si="86"/>
        <v>9.1</v>
      </c>
      <c r="AB95" s="20">
        <f t="shared" si="87"/>
        <v>5</v>
      </c>
      <c r="AC95" s="20">
        <f t="shared" si="88"/>
        <v>9.45</v>
      </c>
      <c r="AD95" s="20">
        <f t="shared" si="89"/>
        <v>11.9</v>
      </c>
      <c r="AE95" s="20">
        <f t="shared" si="74"/>
        <v>0.164</v>
      </c>
      <c r="AF95" s="17">
        <f>(AE95*1000)/((3.1415/6)*1000*('[1]PM number'!$D$16*0.000000001)^3*EXP(4.5*1.8^2))</f>
        <v>10289597584531234</v>
      </c>
      <c r="AG95" s="17">
        <f t="shared" si="90"/>
        <v>0.027677450458484115</v>
      </c>
      <c r="AH95" s="21">
        <f t="shared" si="68"/>
        <v>21.4</v>
      </c>
      <c r="AI95" s="21">
        <f t="shared" si="69"/>
        <v>108.9</v>
      </c>
      <c r="AJ95" s="21">
        <f t="shared" si="61"/>
        <v>308.9</v>
      </c>
      <c r="AK95" s="21">
        <f t="shared" si="70"/>
        <v>395.9</v>
      </c>
      <c r="AL95" s="21">
        <f t="shared" si="71"/>
        <v>3.6</v>
      </c>
      <c r="AM95" s="21">
        <f t="shared" si="62"/>
        <v>29258383929107136</v>
      </c>
      <c r="AN95" s="19">
        <v>1</v>
      </c>
      <c r="AO95" s="19">
        <v>80</v>
      </c>
      <c r="AP95" s="22">
        <f t="shared" si="91"/>
        <v>0.03746693258607496</v>
      </c>
      <c r="AQ95" s="22">
        <f t="shared" si="92"/>
        <v>6.8</v>
      </c>
      <c r="AR95" s="22">
        <f t="shared" si="93"/>
        <v>5.2</v>
      </c>
      <c r="AS95" s="22">
        <f t="shared" si="94"/>
        <v>6.4</v>
      </c>
      <c r="AT95" s="22">
        <f t="shared" si="75"/>
        <v>0.202</v>
      </c>
      <c r="AU95" s="23">
        <f t="shared" si="63"/>
        <v>134.9</v>
      </c>
      <c r="AV95" s="23">
        <f t="shared" si="64"/>
        <v>0.92</v>
      </c>
      <c r="AW95" s="23">
        <f t="shared" si="65"/>
        <v>0.7</v>
      </c>
      <c r="AX95" s="23">
        <f t="shared" si="66"/>
        <v>0.86</v>
      </c>
      <c r="AY95" s="23">
        <f t="shared" si="67"/>
        <v>27.2</v>
      </c>
      <c r="AZ95" s="23">
        <f>(AY95*1000)/((3.1415/6)*1000*('[1]PM number'!$F$12*0.000000001)^3*EXP(4.5*1.8^2))</f>
        <v>8.040598510735731E+17</v>
      </c>
    </row>
    <row r="96" spans="1:52" ht="38.25">
      <c r="A96" s="24" t="s">
        <v>295</v>
      </c>
      <c r="B96" s="25" t="s">
        <v>301</v>
      </c>
      <c r="C96" s="24" t="s">
        <v>304</v>
      </c>
      <c r="D96" s="24" t="s">
        <v>305</v>
      </c>
      <c r="E96" s="26">
        <v>563</v>
      </c>
      <c r="F96" s="26">
        <v>1</v>
      </c>
      <c r="G96" s="27">
        <v>13</v>
      </c>
      <c r="H96" s="28">
        <v>5</v>
      </c>
      <c r="I96" s="17">
        <f t="shared" si="76"/>
        <v>5.1</v>
      </c>
      <c r="J96" s="17">
        <f t="shared" si="77"/>
        <v>2.4</v>
      </c>
      <c r="K96" s="17">
        <f t="shared" si="78"/>
        <v>37</v>
      </c>
      <c r="L96" s="17">
        <f t="shared" si="79"/>
        <v>48.2</v>
      </c>
      <c r="M96" s="18">
        <f t="shared" si="80"/>
        <v>0.016967268820499072</v>
      </c>
      <c r="N96" s="17">
        <f t="shared" si="72"/>
        <v>0.123</v>
      </c>
      <c r="O96" s="17">
        <f>(N96*1000)/((3.1415/6)*1000*('[1]PM number'!C16*0.000000001)^3*EXP(4.5*1.8^2))</f>
        <v>15696602121178532</v>
      </c>
      <c r="P96" s="19">
        <v>87</v>
      </c>
      <c r="Q96" s="19">
        <v>3</v>
      </c>
      <c r="R96" s="20">
        <f t="shared" si="81"/>
        <v>7.2</v>
      </c>
      <c r="S96" s="20">
        <f t="shared" si="82"/>
        <v>7.1</v>
      </c>
      <c r="T96" s="20">
        <f t="shared" si="83"/>
        <v>4.75</v>
      </c>
      <c r="U96" s="20">
        <f t="shared" si="84"/>
        <v>5.8</v>
      </c>
      <c r="V96" s="20">
        <f t="shared" si="73"/>
        <v>0.21</v>
      </c>
      <c r="W96" s="17">
        <f>(V96*1000)/((3.1415/6)*1000*('[1]PM number'!$E$16*0.000000001)^3*EXP(4.5*1.8^2))</f>
        <v>3272184223397369</v>
      </c>
      <c r="X96">
        <f t="shared" si="85"/>
        <v>0.03974463453909617</v>
      </c>
      <c r="Y96" s="19">
        <v>46</v>
      </c>
      <c r="Z96" s="19">
        <v>5.5</v>
      </c>
      <c r="AA96" s="20">
        <f t="shared" si="86"/>
        <v>9.1</v>
      </c>
      <c r="AB96" s="20">
        <f t="shared" si="87"/>
        <v>5</v>
      </c>
      <c r="AC96" s="20">
        <f t="shared" si="88"/>
        <v>9.45</v>
      </c>
      <c r="AD96" s="20">
        <f t="shared" si="89"/>
        <v>11.9</v>
      </c>
      <c r="AE96" s="20">
        <f t="shared" si="74"/>
        <v>0.164</v>
      </c>
      <c r="AF96" s="17">
        <f>(AE96*1000)/((3.1415/6)*1000*('[1]PM number'!$D$16*0.000000001)^3*EXP(4.5*1.8^2))</f>
        <v>10289597584531234</v>
      </c>
      <c r="AG96" s="17">
        <f t="shared" si="90"/>
        <v>0.027677450458484115</v>
      </c>
      <c r="AH96" s="21">
        <f t="shared" si="68"/>
        <v>21.4</v>
      </c>
      <c r="AI96" s="21">
        <f t="shared" si="69"/>
        <v>108.9</v>
      </c>
      <c r="AJ96" s="21">
        <f t="shared" si="61"/>
        <v>308.9</v>
      </c>
      <c r="AK96" s="21">
        <f t="shared" si="70"/>
        <v>395.9</v>
      </c>
      <c r="AL96" s="21">
        <f t="shared" si="71"/>
        <v>3.6</v>
      </c>
      <c r="AM96" s="21">
        <f t="shared" si="62"/>
        <v>29258383929107136</v>
      </c>
      <c r="AN96" s="19">
        <v>1</v>
      </c>
      <c r="AO96" s="19">
        <v>80</v>
      </c>
      <c r="AP96" s="22">
        <f t="shared" si="91"/>
        <v>0.03746693258607496</v>
      </c>
      <c r="AQ96" s="22">
        <f t="shared" si="92"/>
        <v>6.8</v>
      </c>
      <c r="AR96" s="22">
        <f t="shared" si="93"/>
        <v>5.2</v>
      </c>
      <c r="AS96" s="22">
        <f t="shared" si="94"/>
        <v>6.4</v>
      </c>
      <c r="AT96" s="22">
        <f t="shared" si="75"/>
        <v>0.202</v>
      </c>
      <c r="AU96" s="23">
        <f t="shared" si="63"/>
        <v>134.9</v>
      </c>
      <c r="AV96" s="23">
        <f t="shared" si="64"/>
        <v>0.92</v>
      </c>
      <c r="AW96" s="23">
        <f t="shared" si="65"/>
        <v>0.7</v>
      </c>
      <c r="AX96" s="23">
        <f t="shared" si="66"/>
        <v>0.86</v>
      </c>
      <c r="AY96" s="23">
        <f t="shared" si="67"/>
        <v>27.2</v>
      </c>
      <c r="AZ96" s="23">
        <f>(AY96*1000)/((3.1415/6)*1000*('[1]PM number'!$F$12*0.000000001)^3*EXP(4.5*1.8^2))</f>
        <v>8.040598510735731E+17</v>
      </c>
    </row>
    <row r="97" spans="1:52" ht="25.5">
      <c r="A97" s="24" t="s">
        <v>295</v>
      </c>
      <c r="B97" s="25" t="s">
        <v>306</v>
      </c>
      <c r="C97" s="24" t="s">
        <v>307</v>
      </c>
      <c r="D97" s="24" t="s">
        <v>305</v>
      </c>
      <c r="E97" s="26">
        <v>563</v>
      </c>
      <c r="F97" s="26">
        <v>1</v>
      </c>
      <c r="G97" s="27">
        <v>13</v>
      </c>
      <c r="H97" s="28">
        <v>5</v>
      </c>
      <c r="I97" s="17">
        <f t="shared" si="76"/>
        <v>5.1</v>
      </c>
      <c r="J97" s="17">
        <f t="shared" si="77"/>
        <v>2.4</v>
      </c>
      <c r="K97" s="17">
        <f t="shared" si="78"/>
        <v>37</v>
      </c>
      <c r="L97" s="17">
        <f t="shared" si="79"/>
        <v>48.2</v>
      </c>
      <c r="M97" s="18">
        <f t="shared" si="80"/>
        <v>0.016967268820499072</v>
      </c>
      <c r="N97" s="17">
        <f t="shared" si="72"/>
        <v>0.123</v>
      </c>
      <c r="O97" s="17">
        <f>(N97*1000)/((3.1415/6)*1000*('[1]PM number'!C16*0.000000001)^3*EXP(4.5*1.8^2))</f>
        <v>15696602121178532</v>
      </c>
      <c r="P97" s="19">
        <v>87</v>
      </c>
      <c r="Q97" s="19">
        <v>3</v>
      </c>
      <c r="R97" s="20">
        <f t="shared" si="81"/>
        <v>7.2</v>
      </c>
      <c r="S97" s="20">
        <f t="shared" si="82"/>
        <v>7.1</v>
      </c>
      <c r="T97" s="20">
        <f t="shared" si="83"/>
        <v>4.75</v>
      </c>
      <c r="U97" s="20">
        <f t="shared" si="84"/>
        <v>5.8</v>
      </c>
      <c r="V97" s="20">
        <f t="shared" si="73"/>
        <v>0.21</v>
      </c>
      <c r="W97" s="17">
        <f>(V97*1000)/((3.1415/6)*1000*('[1]PM number'!$E$16*0.000000001)^3*EXP(4.5*1.8^2))</f>
        <v>3272184223397369</v>
      </c>
      <c r="X97">
        <f t="shared" si="85"/>
        <v>0.03974463453909617</v>
      </c>
      <c r="Y97" s="19">
        <v>46</v>
      </c>
      <c r="Z97" s="19">
        <v>5.5</v>
      </c>
      <c r="AA97" s="20">
        <f t="shared" si="86"/>
        <v>9.1</v>
      </c>
      <c r="AB97" s="20">
        <f t="shared" si="87"/>
        <v>5</v>
      </c>
      <c r="AC97" s="20">
        <f t="shared" si="88"/>
        <v>9.45</v>
      </c>
      <c r="AD97" s="20">
        <f t="shared" si="89"/>
        <v>11.9</v>
      </c>
      <c r="AE97" s="20">
        <f t="shared" si="74"/>
        <v>0.164</v>
      </c>
      <c r="AF97" s="17">
        <f>(AE97*1000)/((3.1415/6)*1000*('[1]PM number'!$D$16*0.000000001)^3*EXP(4.5*1.8^2))</f>
        <v>10289597584531234</v>
      </c>
      <c r="AG97" s="17">
        <f t="shared" si="90"/>
        <v>0.027677450458484115</v>
      </c>
      <c r="AH97" s="21">
        <f t="shared" si="68"/>
        <v>21.4</v>
      </c>
      <c r="AI97" s="21">
        <f t="shared" si="69"/>
        <v>108.9</v>
      </c>
      <c r="AJ97" s="21">
        <f t="shared" si="61"/>
        <v>308.9</v>
      </c>
      <c r="AK97" s="21">
        <f t="shared" si="70"/>
        <v>395.9</v>
      </c>
      <c r="AL97" s="21">
        <f t="shared" si="71"/>
        <v>3.6</v>
      </c>
      <c r="AM97" s="21">
        <f t="shared" si="62"/>
        <v>29258383929107136</v>
      </c>
      <c r="AN97" s="19">
        <v>1.18</v>
      </c>
      <c r="AO97" s="19">
        <v>80</v>
      </c>
      <c r="AP97" s="22">
        <f t="shared" si="91"/>
        <v>0.03746693258607496</v>
      </c>
      <c r="AQ97" s="22">
        <f t="shared" si="92"/>
        <v>6.8</v>
      </c>
      <c r="AR97" s="22">
        <f t="shared" si="93"/>
        <v>5.2</v>
      </c>
      <c r="AS97" s="22">
        <f t="shared" si="94"/>
        <v>6.4</v>
      </c>
      <c r="AT97" s="22">
        <f t="shared" si="75"/>
        <v>0.202</v>
      </c>
      <c r="AU97" s="23">
        <f t="shared" si="63"/>
        <v>159.2</v>
      </c>
      <c r="AV97" s="23">
        <f t="shared" si="64"/>
        <v>1.08</v>
      </c>
      <c r="AW97" s="23">
        <f t="shared" si="65"/>
        <v>0.83</v>
      </c>
      <c r="AX97" s="23">
        <f t="shared" si="66"/>
        <v>1.02</v>
      </c>
      <c r="AY97" s="23">
        <f t="shared" si="67"/>
        <v>32.2</v>
      </c>
      <c r="AZ97" s="23">
        <f>(AY97*1000)/((3.1415/6)*1000*('[1]PM number'!$F$12*0.000000001)^3*EXP(4.5*1.8^2))</f>
        <v>9.518649707562153E+17</v>
      </c>
    </row>
    <row r="98" spans="1:52" ht="25.5">
      <c r="A98" s="24" t="s">
        <v>308</v>
      </c>
      <c r="B98" s="25" t="s">
        <v>309</v>
      </c>
      <c r="C98" s="24" t="s">
        <v>310</v>
      </c>
      <c r="D98" s="24" t="s">
        <v>311</v>
      </c>
      <c r="E98" s="26">
        <v>644</v>
      </c>
      <c r="F98" s="26">
        <v>1</v>
      </c>
      <c r="G98" s="27">
        <v>13</v>
      </c>
      <c r="H98" s="28">
        <v>5</v>
      </c>
      <c r="I98" s="17">
        <f t="shared" si="76"/>
        <v>5.4</v>
      </c>
      <c r="J98" s="17">
        <f t="shared" si="77"/>
        <v>2.6</v>
      </c>
      <c r="K98" s="17">
        <f t="shared" si="78"/>
        <v>32</v>
      </c>
      <c r="L98" s="17">
        <f t="shared" si="79"/>
        <v>41.5</v>
      </c>
      <c r="M98" s="18">
        <f t="shared" si="80"/>
        <v>0.017966055152155942</v>
      </c>
      <c r="N98" s="17">
        <f t="shared" si="72"/>
        <v>0.125</v>
      </c>
      <c r="O98" s="17">
        <f>(N98*1000)/((3.1415/6)*1000*('[1]PM number'!C16*0.000000001)^3*EXP(4.5*1.8^2))</f>
        <v>15951831423961924</v>
      </c>
      <c r="P98" s="19">
        <v>87</v>
      </c>
      <c r="Q98" s="19">
        <v>3</v>
      </c>
      <c r="R98" s="20">
        <f t="shared" si="81"/>
        <v>7.9</v>
      </c>
      <c r="S98" s="20">
        <f t="shared" si="82"/>
        <v>7.7</v>
      </c>
      <c r="T98" s="20">
        <f t="shared" si="83"/>
        <v>4.11</v>
      </c>
      <c r="U98" s="20">
        <f t="shared" si="84"/>
        <v>5</v>
      </c>
      <c r="V98" s="20">
        <f t="shared" si="73"/>
        <v>0.223</v>
      </c>
      <c r="W98" s="17">
        <f>(V98*1000)/((3.1415/6)*1000*('[1]PM number'!$E$16*0.000000001)^3*EXP(4.5*1.8^2))</f>
        <v>3474748008655301.5</v>
      </c>
      <c r="X98">
        <f t="shared" si="85"/>
        <v>0.043755379246201855</v>
      </c>
      <c r="Y98" s="19">
        <v>46</v>
      </c>
      <c r="Z98" s="19">
        <v>5.5</v>
      </c>
      <c r="AA98" s="20">
        <f t="shared" si="86"/>
        <v>10.2</v>
      </c>
      <c r="AB98" s="20">
        <f t="shared" si="87"/>
        <v>5.3</v>
      </c>
      <c r="AC98" s="20">
        <f t="shared" si="88"/>
        <v>8.17</v>
      </c>
      <c r="AD98" s="20">
        <f t="shared" si="89"/>
        <v>10.2</v>
      </c>
      <c r="AE98" s="20">
        <f t="shared" si="74"/>
        <v>0.171</v>
      </c>
      <c r="AF98" s="17">
        <f>(AE98*1000)/((3.1415/6)*1000*('[1]PM number'!$D$16*0.000000001)^3*EXP(4.5*1.8^2))</f>
        <v>10728787725334396</v>
      </c>
      <c r="AG98" s="17">
        <f t="shared" si="90"/>
        <v>0.031022207734316264</v>
      </c>
      <c r="AH98" s="21">
        <f t="shared" si="68"/>
        <v>23.5</v>
      </c>
      <c r="AI98" s="21">
        <f t="shared" si="69"/>
        <v>128.9</v>
      </c>
      <c r="AJ98" s="21">
        <f t="shared" si="61"/>
        <v>288.6</v>
      </c>
      <c r="AK98" s="21">
        <f t="shared" si="70"/>
        <v>367.6</v>
      </c>
      <c r="AL98" s="21">
        <f t="shared" si="71"/>
        <v>4.2</v>
      </c>
      <c r="AM98" s="21">
        <f t="shared" si="62"/>
        <v>30155367157951620</v>
      </c>
      <c r="AN98" s="19">
        <v>1</v>
      </c>
      <c r="AO98" s="19">
        <v>80</v>
      </c>
      <c r="AP98" s="22">
        <f t="shared" si="91"/>
        <v>0.041238575292255435</v>
      </c>
      <c r="AQ98" s="22">
        <f t="shared" si="92"/>
        <v>7.3</v>
      </c>
      <c r="AR98" s="22">
        <f t="shared" si="93"/>
        <v>4.5</v>
      </c>
      <c r="AS98" s="22">
        <f t="shared" si="94"/>
        <v>5.5</v>
      </c>
      <c r="AT98" s="22">
        <f t="shared" si="75"/>
        <v>0.215</v>
      </c>
      <c r="AU98" s="23">
        <f t="shared" si="63"/>
        <v>148.5</v>
      </c>
      <c r="AV98" s="23">
        <f t="shared" si="64"/>
        <v>1.08</v>
      </c>
      <c r="AW98" s="23">
        <f t="shared" si="65"/>
        <v>0.67</v>
      </c>
      <c r="AX98" s="23">
        <f t="shared" si="66"/>
        <v>0.82</v>
      </c>
      <c r="AY98" s="23">
        <f t="shared" si="67"/>
        <v>31.9</v>
      </c>
      <c r="AZ98" s="23">
        <f>(AY98*1000)/((3.1415/6)*1000*('[1]PM number'!$F$12*0.000000001)^3*EXP(4.5*1.8^2))</f>
        <v>9.429966635752567E+17</v>
      </c>
    </row>
    <row r="99" spans="1:52" ht="25.5">
      <c r="A99" s="24" t="s">
        <v>308</v>
      </c>
      <c r="B99" s="25" t="s">
        <v>309</v>
      </c>
      <c r="C99" s="24" t="s">
        <v>310</v>
      </c>
      <c r="D99" s="24" t="s">
        <v>312</v>
      </c>
      <c r="E99" s="26">
        <v>644</v>
      </c>
      <c r="F99" s="26">
        <v>1</v>
      </c>
      <c r="G99" s="27">
        <v>13</v>
      </c>
      <c r="H99" s="28">
        <v>5</v>
      </c>
      <c r="I99" s="17">
        <f t="shared" si="76"/>
        <v>5.4</v>
      </c>
      <c r="J99" s="17">
        <f t="shared" si="77"/>
        <v>2.6</v>
      </c>
      <c r="K99" s="17">
        <f t="shared" si="78"/>
        <v>32</v>
      </c>
      <c r="L99" s="17">
        <f t="shared" si="79"/>
        <v>41.5</v>
      </c>
      <c r="M99" s="18">
        <f t="shared" si="80"/>
        <v>0.017966055152155942</v>
      </c>
      <c r="N99" s="17">
        <f t="shared" si="72"/>
        <v>0.125</v>
      </c>
      <c r="O99" s="17">
        <f>(N99*1000)/((3.1415/6)*1000*('[1]PM number'!C16*0.000000001)^3*EXP(4.5*1.8^2))</f>
        <v>15951831423961924</v>
      </c>
      <c r="P99" s="19">
        <v>87</v>
      </c>
      <c r="Q99" s="19">
        <v>3</v>
      </c>
      <c r="R99" s="20">
        <f t="shared" si="81"/>
        <v>7.9</v>
      </c>
      <c r="S99" s="20">
        <f t="shared" si="82"/>
        <v>7.7</v>
      </c>
      <c r="T99" s="20">
        <f t="shared" si="83"/>
        <v>4.11</v>
      </c>
      <c r="U99" s="20">
        <f t="shared" si="84"/>
        <v>5</v>
      </c>
      <c r="V99" s="20">
        <f t="shared" si="73"/>
        <v>0.223</v>
      </c>
      <c r="W99" s="17">
        <f>(V99*1000)/((3.1415/6)*1000*('[1]PM number'!$E$16*0.000000001)^3*EXP(4.5*1.8^2))</f>
        <v>3474748008655301.5</v>
      </c>
      <c r="X99">
        <f t="shared" si="85"/>
        <v>0.043755379246201855</v>
      </c>
      <c r="Y99" s="19">
        <v>46</v>
      </c>
      <c r="Z99" s="19">
        <v>5.5</v>
      </c>
      <c r="AA99" s="20">
        <f t="shared" si="86"/>
        <v>10.2</v>
      </c>
      <c r="AB99" s="20">
        <f t="shared" si="87"/>
        <v>5.3</v>
      </c>
      <c r="AC99" s="20">
        <f t="shared" si="88"/>
        <v>8.17</v>
      </c>
      <c r="AD99" s="20">
        <f t="shared" si="89"/>
        <v>10.2</v>
      </c>
      <c r="AE99" s="20">
        <f t="shared" si="74"/>
        <v>0.171</v>
      </c>
      <c r="AF99" s="17">
        <f>(AE99*1000)/((3.1415/6)*1000*('[1]PM number'!$D$16*0.000000001)^3*EXP(4.5*1.8^2))</f>
        <v>10728787725334396</v>
      </c>
      <c r="AG99" s="17">
        <f t="shared" si="90"/>
        <v>0.031022207734316264</v>
      </c>
      <c r="AH99" s="21">
        <f t="shared" si="68"/>
        <v>23.5</v>
      </c>
      <c r="AI99" s="21">
        <f t="shared" si="69"/>
        <v>128.9</v>
      </c>
      <c r="AJ99" s="21">
        <f t="shared" si="61"/>
        <v>288.6</v>
      </c>
      <c r="AK99" s="21">
        <f t="shared" si="70"/>
        <v>367.6</v>
      </c>
      <c r="AL99" s="21">
        <f t="shared" si="71"/>
        <v>4.2</v>
      </c>
      <c r="AM99" s="21">
        <f t="shared" si="62"/>
        <v>30155367157951620</v>
      </c>
      <c r="AN99" s="19">
        <v>1</v>
      </c>
      <c r="AO99" s="19">
        <v>80</v>
      </c>
      <c r="AP99" s="22">
        <f t="shared" si="91"/>
        <v>0.041238575292255435</v>
      </c>
      <c r="AQ99" s="22">
        <f t="shared" si="92"/>
        <v>7.3</v>
      </c>
      <c r="AR99" s="22">
        <f t="shared" si="93"/>
        <v>4.5</v>
      </c>
      <c r="AS99" s="22">
        <f t="shared" si="94"/>
        <v>5.5</v>
      </c>
      <c r="AT99" s="22">
        <f t="shared" si="75"/>
        <v>0.215</v>
      </c>
      <c r="AU99" s="23">
        <f t="shared" si="63"/>
        <v>148.5</v>
      </c>
      <c r="AV99" s="23">
        <f t="shared" si="64"/>
        <v>1.08</v>
      </c>
      <c r="AW99" s="23">
        <f t="shared" si="65"/>
        <v>0.67</v>
      </c>
      <c r="AX99" s="23">
        <f t="shared" si="66"/>
        <v>0.82</v>
      </c>
      <c r="AY99" s="23">
        <f t="shared" si="67"/>
        <v>31.9</v>
      </c>
      <c r="AZ99" s="23">
        <f>(AY99*1000)/((3.1415/6)*1000*('[1]PM number'!$F$12*0.000000001)^3*EXP(4.5*1.8^2))</f>
        <v>9.429966635752567E+17</v>
      </c>
    </row>
    <row r="100" spans="1:52" ht="38.25">
      <c r="A100" s="24" t="s">
        <v>313</v>
      </c>
      <c r="B100" s="25" t="s">
        <v>301</v>
      </c>
      <c r="C100" s="24" t="s">
        <v>304</v>
      </c>
      <c r="D100" s="24" t="s">
        <v>314</v>
      </c>
      <c r="E100" s="26">
        <v>590</v>
      </c>
      <c r="F100" s="26">
        <v>1</v>
      </c>
      <c r="G100" s="27">
        <v>13</v>
      </c>
      <c r="H100" s="28">
        <v>5</v>
      </c>
      <c r="I100" s="17">
        <f t="shared" si="76"/>
        <v>5.2</v>
      </c>
      <c r="J100" s="17">
        <f t="shared" si="77"/>
        <v>2.5</v>
      </c>
      <c r="K100" s="17">
        <f t="shared" si="78"/>
        <v>35.17</v>
      </c>
      <c r="L100" s="17">
        <f t="shared" si="79"/>
        <v>45.8</v>
      </c>
      <c r="M100" s="18">
        <f t="shared" si="80"/>
        <v>0.017353282189611432</v>
      </c>
      <c r="N100" s="17">
        <f t="shared" si="72"/>
        <v>0.123</v>
      </c>
      <c r="O100" s="17">
        <f>(N100*1000)/((3.1415/6)*1000*('[1]PM number'!C16*0.000000001)^3*EXP(4.5*1.8^2))</f>
        <v>15696602121178532</v>
      </c>
      <c r="P100" s="19">
        <v>87</v>
      </c>
      <c r="Q100" s="19">
        <v>3</v>
      </c>
      <c r="R100" s="20">
        <f t="shared" si="81"/>
        <v>7.4</v>
      </c>
      <c r="S100" s="20">
        <f t="shared" si="82"/>
        <v>7.3</v>
      </c>
      <c r="T100" s="20">
        <f t="shared" si="83"/>
        <v>4.51</v>
      </c>
      <c r="U100" s="20">
        <f t="shared" si="84"/>
        <v>5.6</v>
      </c>
      <c r="V100" s="20">
        <f t="shared" si="73"/>
        <v>0.214</v>
      </c>
      <c r="W100" s="17">
        <f>(V100*1000)/((3.1415/6)*1000*('[1]PM number'!$E$16*0.000000001)^3*EXP(4.5*1.8^2))</f>
        <v>3334511541938271.5</v>
      </c>
      <c r="X100">
        <f t="shared" si="85"/>
        <v>0.041100226794999334</v>
      </c>
      <c r="Y100" s="19">
        <v>46</v>
      </c>
      <c r="Z100" s="19">
        <v>5.5</v>
      </c>
      <c r="AA100" s="20">
        <f t="shared" si="86"/>
        <v>9.3</v>
      </c>
      <c r="AB100" s="20">
        <f t="shared" si="87"/>
        <v>5.1</v>
      </c>
      <c r="AC100" s="20">
        <f t="shared" si="88"/>
        <v>8.98</v>
      </c>
      <c r="AD100" s="20">
        <f t="shared" si="89"/>
        <v>11.3</v>
      </c>
      <c r="AE100" s="20">
        <f t="shared" si="74"/>
        <v>0.166</v>
      </c>
      <c r="AF100" s="17">
        <f>(AE100*1000)/((3.1415/6)*1000*('[1]PM number'!$D$16*0.000000001)^3*EXP(4.5*1.8^2))</f>
        <v>10415080481903566</v>
      </c>
      <c r="AG100" s="17">
        <f t="shared" si="90"/>
        <v>0.028200949857238613</v>
      </c>
      <c r="AH100" s="21">
        <f t="shared" si="68"/>
        <v>21.9</v>
      </c>
      <c r="AI100" s="21">
        <f t="shared" si="69"/>
        <v>114.5</v>
      </c>
      <c r="AJ100" s="21">
        <f t="shared" si="61"/>
        <v>299.8</v>
      </c>
      <c r="AK100" s="21">
        <f t="shared" si="70"/>
        <v>384.7</v>
      </c>
      <c r="AL100" s="21">
        <f t="shared" si="71"/>
        <v>3.8</v>
      </c>
      <c r="AM100" s="21">
        <f t="shared" si="62"/>
        <v>29446194145020370</v>
      </c>
      <c r="AN100" s="19">
        <v>1</v>
      </c>
      <c r="AO100" s="19">
        <v>80</v>
      </c>
      <c r="AP100" s="22">
        <f t="shared" si="91"/>
        <v>0.03871514559897199</v>
      </c>
      <c r="AQ100" s="22">
        <f t="shared" si="92"/>
        <v>7</v>
      </c>
      <c r="AR100" s="22">
        <f t="shared" si="93"/>
        <v>4.94</v>
      </c>
      <c r="AS100" s="22">
        <f t="shared" si="94"/>
        <v>6.1</v>
      </c>
      <c r="AT100" s="22">
        <f t="shared" si="75"/>
        <v>0.207</v>
      </c>
      <c r="AU100" s="23">
        <f t="shared" si="63"/>
        <v>139.4</v>
      </c>
      <c r="AV100" s="23">
        <f t="shared" si="64"/>
        <v>0.98</v>
      </c>
      <c r="AW100" s="23">
        <f t="shared" si="65"/>
        <v>0.69</v>
      </c>
      <c r="AX100" s="23">
        <f t="shared" si="66"/>
        <v>0.85</v>
      </c>
      <c r="AY100" s="23">
        <f t="shared" si="67"/>
        <v>28.9</v>
      </c>
      <c r="AZ100" s="23">
        <f>(AY100*1000)/((3.1415/6)*1000*('[1]PM number'!$F$12*0.000000001)^3*EXP(4.5*1.8^2))</f>
        <v>8.543135917656714E+17</v>
      </c>
    </row>
    <row r="101" spans="1:52" ht="25.5">
      <c r="A101" s="24" t="s">
        <v>313</v>
      </c>
      <c r="B101" s="25" t="s">
        <v>309</v>
      </c>
      <c r="C101" s="24" t="s">
        <v>315</v>
      </c>
      <c r="D101" s="24" t="s">
        <v>316</v>
      </c>
      <c r="E101" s="26">
        <v>590</v>
      </c>
      <c r="F101" s="26">
        <v>1</v>
      </c>
      <c r="G101" s="27">
        <v>13</v>
      </c>
      <c r="H101" s="28">
        <v>5</v>
      </c>
      <c r="I101" s="17">
        <f t="shared" si="76"/>
        <v>5.2</v>
      </c>
      <c r="J101" s="17">
        <f t="shared" si="77"/>
        <v>2.5</v>
      </c>
      <c r="K101" s="17">
        <f t="shared" si="78"/>
        <v>35.17</v>
      </c>
      <c r="L101" s="17">
        <f t="shared" si="79"/>
        <v>45.8</v>
      </c>
      <c r="M101" s="18">
        <f t="shared" si="80"/>
        <v>0.017353282189611432</v>
      </c>
      <c r="N101" s="17">
        <f t="shared" si="72"/>
        <v>0.123</v>
      </c>
      <c r="O101" s="17">
        <f>(N101*1000)/((3.1415/6)*1000*('[1]PM number'!C16*0.000000001)^3*EXP(4.5*1.8^2))</f>
        <v>15696602121178532</v>
      </c>
      <c r="P101" s="19">
        <v>87</v>
      </c>
      <c r="Q101" s="19">
        <v>3</v>
      </c>
      <c r="R101" s="20">
        <f t="shared" si="81"/>
        <v>7.4</v>
      </c>
      <c r="S101" s="20">
        <f t="shared" si="82"/>
        <v>7.3</v>
      </c>
      <c r="T101" s="20">
        <f t="shared" si="83"/>
        <v>4.51</v>
      </c>
      <c r="U101" s="20">
        <f t="shared" si="84"/>
        <v>5.6</v>
      </c>
      <c r="V101" s="20">
        <f t="shared" si="73"/>
        <v>0.214</v>
      </c>
      <c r="W101" s="17">
        <f>(V101*1000)/((3.1415/6)*1000*('[1]PM number'!$E$16*0.000000001)^3*EXP(4.5*1.8^2))</f>
        <v>3334511541938271.5</v>
      </c>
      <c r="X101">
        <f t="shared" si="85"/>
        <v>0.041100226794999334</v>
      </c>
      <c r="Y101" s="19">
        <v>46</v>
      </c>
      <c r="Z101" s="19">
        <v>5.5</v>
      </c>
      <c r="AA101" s="20">
        <f t="shared" si="86"/>
        <v>9.3</v>
      </c>
      <c r="AB101" s="20">
        <f t="shared" si="87"/>
        <v>5.1</v>
      </c>
      <c r="AC101" s="20">
        <f t="shared" si="88"/>
        <v>8.98</v>
      </c>
      <c r="AD101" s="20">
        <f t="shared" si="89"/>
        <v>11.3</v>
      </c>
      <c r="AE101" s="20">
        <f t="shared" si="74"/>
        <v>0.166</v>
      </c>
      <c r="AF101" s="17">
        <f>(AE101*1000)/((3.1415/6)*1000*('[1]PM number'!$D$16*0.000000001)^3*EXP(4.5*1.8^2))</f>
        <v>10415080481903566</v>
      </c>
      <c r="AG101" s="17">
        <f t="shared" si="90"/>
        <v>0.028200949857238613</v>
      </c>
      <c r="AH101" s="21">
        <f t="shared" si="68"/>
        <v>21.9</v>
      </c>
      <c r="AI101" s="21">
        <f t="shared" si="69"/>
        <v>114.5</v>
      </c>
      <c r="AJ101" s="21">
        <f t="shared" si="61"/>
        <v>299.8</v>
      </c>
      <c r="AK101" s="21">
        <f t="shared" si="70"/>
        <v>384.7</v>
      </c>
      <c r="AL101" s="21">
        <f t="shared" si="71"/>
        <v>3.8</v>
      </c>
      <c r="AM101" s="21">
        <f t="shared" si="62"/>
        <v>29446194145020370</v>
      </c>
      <c r="AN101" s="19">
        <v>1</v>
      </c>
      <c r="AO101" s="19">
        <v>80</v>
      </c>
      <c r="AP101" s="22">
        <f t="shared" si="91"/>
        <v>0.03871514559897199</v>
      </c>
      <c r="AQ101" s="22">
        <f t="shared" si="92"/>
        <v>7</v>
      </c>
      <c r="AR101" s="22">
        <f t="shared" si="93"/>
        <v>4.94</v>
      </c>
      <c r="AS101" s="22">
        <f t="shared" si="94"/>
        <v>6.1</v>
      </c>
      <c r="AT101" s="22">
        <f t="shared" si="75"/>
        <v>0.207</v>
      </c>
      <c r="AU101" s="23">
        <f t="shared" si="63"/>
        <v>139.4</v>
      </c>
      <c r="AV101" s="23">
        <f t="shared" si="64"/>
        <v>0.98</v>
      </c>
      <c r="AW101" s="23">
        <f t="shared" si="65"/>
        <v>0.69</v>
      </c>
      <c r="AX101" s="23">
        <f t="shared" si="66"/>
        <v>0.85</v>
      </c>
      <c r="AY101" s="23">
        <f t="shared" si="67"/>
        <v>28.9</v>
      </c>
      <c r="AZ101" s="23">
        <f>(AY101*1000)/((3.1415/6)*1000*('[1]PM number'!$F$12*0.000000001)^3*EXP(4.5*1.8^2))</f>
        <v>8.543135917656714E+17</v>
      </c>
    </row>
    <row r="102" spans="1:52" ht="25.5">
      <c r="A102" s="24" t="s">
        <v>313</v>
      </c>
      <c r="B102" s="25" t="s">
        <v>309</v>
      </c>
      <c r="C102" s="24" t="s">
        <v>315</v>
      </c>
      <c r="D102" s="24" t="s">
        <v>317</v>
      </c>
      <c r="E102" s="26">
        <v>590</v>
      </c>
      <c r="F102" s="26">
        <v>1</v>
      </c>
      <c r="G102" s="27">
        <v>13</v>
      </c>
      <c r="H102" s="28">
        <v>5</v>
      </c>
      <c r="I102" s="17">
        <f t="shared" si="76"/>
        <v>5.2</v>
      </c>
      <c r="J102" s="17">
        <f t="shared" si="77"/>
        <v>2.5</v>
      </c>
      <c r="K102" s="17">
        <f t="shared" si="78"/>
        <v>35.17</v>
      </c>
      <c r="L102" s="17">
        <f t="shared" si="79"/>
        <v>45.8</v>
      </c>
      <c r="M102" s="18">
        <f t="shared" si="80"/>
        <v>0.017353282189611432</v>
      </c>
      <c r="N102" s="17">
        <f t="shared" si="72"/>
        <v>0.123</v>
      </c>
      <c r="O102" s="17">
        <f>(N102*1000)/((3.1415/6)*1000*('[1]PM number'!C16*0.000000001)^3*EXP(4.5*1.8^2))</f>
        <v>15696602121178532</v>
      </c>
      <c r="P102" s="19">
        <v>87</v>
      </c>
      <c r="Q102" s="19">
        <v>3</v>
      </c>
      <c r="R102" s="20">
        <f t="shared" si="81"/>
        <v>7.4</v>
      </c>
      <c r="S102" s="20">
        <f t="shared" si="82"/>
        <v>7.3</v>
      </c>
      <c r="T102" s="20">
        <f t="shared" si="83"/>
        <v>4.51</v>
      </c>
      <c r="U102" s="20">
        <f t="shared" si="84"/>
        <v>5.6</v>
      </c>
      <c r="V102" s="20">
        <f t="shared" si="73"/>
        <v>0.214</v>
      </c>
      <c r="W102" s="17">
        <f>(V102*1000)/((3.1415/6)*1000*('[1]PM number'!$E$16*0.000000001)^3*EXP(4.5*1.8^2))</f>
        <v>3334511541938271.5</v>
      </c>
      <c r="X102">
        <f t="shared" si="85"/>
        <v>0.041100226794999334</v>
      </c>
      <c r="Y102" s="19">
        <v>46</v>
      </c>
      <c r="Z102" s="19">
        <v>5.5</v>
      </c>
      <c r="AA102" s="20">
        <f t="shared" si="86"/>
        <v>9.3</v>
      </c>
      <c r="AB102" s="20">
        <f t="shared" si="87"/>
        <v>5.1</v>
      </c>
      <c r="AC102" s="20">
        <f t="shared" si="88"/>
        <v>8.98</v>
      </c>
      <c r="AD102" s="20">
        <f t="shared" si="89"/>
        <v>11.3</v>
      </c>
      <c r="AE102" s="20">
        <f t="shared" si="74"/>
        <v>0.166</v>
      </c>
      <c r="AF102" s="17">
        <f>(AE102*1000)/((3.1415/6)*1000*('[1]PM number'!$D$16*0.000000001)^3*EXP(4.5*1.8^2))</f>
        <v>10415080481903566</v>
      </c>
      <c r="AG102" s="17">
        <f t="shared" si="90"/>
        <v>0.028200949857238613</v>
      </c>
      <c r="AH102" s="21">
        <f t="shared" si="68"/>
        <v>21.9</v>
      </c>
      <c r="AI102" s="21">
        <f t="shared" si="69"/>
        <v>114.5</v>
      </c>
      <c r="AJ102" s="21">
        <f t="shared" si="61"/>
        <v>299.8</v>
      </c>
      <c r="AK102" s="21">
        <f t="shared" si="70"/>
        <v>384.7</v>
      </c>
      <c r="AL102" s="21">
        <f t="shared" si="71"/>
        <v>3.8</v>
      </c>
      <c r="AM102" s="21">
        <f t="shared" si="62"/>
        <v>29446194145020370</v>
      </c>
      <c r="AN102" s="19">
        <v>1</v>
      </c>
      <c r="AO102" s="19">
        <v>80</v>
      </c>
      <c r="AP102" s="22">
        <f t="shared" si="91"/>
        <v>0.03871514559897199</v>
      </c>
      <c r="AQ102" s="22">
        <f t="shared" si="92"/>
        <v>7</v>
      </c>
      <c r="AR102" s="22">
        <f t="shared" si="93"/>
        <v>4.94</v>
      </c>
      <c r="AS102" s="22">
        <f t="shared" si="94"/>
        <v>6.1</v>
      </c>
      <c r="AT102" s="22">
        <f t="shared" si="75"/>
        <v>0.207</v>
      </c>
      <c r="AU102" s="23">
        <f t="shared" si="63"/>
        <v>139.4</v>
      </c>
      <c r="AV102" s="23">
        <f t="shared" si="64"/>
        <v>0.98</v>
      </c>
      <c r="AW102" s="23">
        <f t="shared" si="65"/>
        <v>0.69</v>
      </c>
      <c r="AX102" s="23">
        <f t="shared" si="66"/>
        <v>0.85</v>
      </c>
      <c r="AY102" s="23">
        <f t="shared" si="67"/>
        <v>28.9</v>
      </c>
      <c r="AZ102" s="23">
        <f>(AY102*1000)/((3.1415/6)*1000*('[1]PM number'!$F$12*0.000000001)^3*EXP(4.5*1.8^2))</f>
        <v>8.543135917656714E+17</v>
      </c>
    </row>
    <row r="103" spans="1:52" ht="25.5">
      <c r="A103" s="24" t="s">
        <v>318</v>
      </c>
      <c r="B103" s="25" t="s">
        <v>319</v>
      </c>
      <c r="C103" s="24" t="s">
        <v>320</v>
      </c>
      <c r="D103" s="24" t="s">
        <v>321</v>
      </c>
      <c r="E103" s="26">
        <v>317</v>
      </c>
      <c r="F103" s="26">
        <v>1</v>
      </c>
      <c r="G103" s="27">
        <v>13</v>
      </c>
      <c r="H103" s="28">
        <v>5</v>
      </c>
      <c r="I103" s="17">
        <f t="shared" si="76"/>
        <v>3.8</v>
      </c>
      <c r="J103" s="17">
        <f t="shared" si="77"/>
        <v>1.7</v>
      </c>
      <c r="K103" s="17">
        <f t="shared" si="78"/>
        <v>68.8</v>
      </c>
      <c r="L103" s="17">
        <f t="shared" si="79"/>
        <v>91.2</v>
      </c>
      <c r="M103" s="18">
        <f t="shared" si="80"/>
        <v>0.012696591197921924</v>
      </c>
      <c r="N103" s="17">
        <f t="shared" si="72"/>
        <v>0.115</v>
      </c>
      <c r="O103" s="17">
        <f>(N103*1000)/((3.1415/6)*1000*('[1]PM number'!C16*0.000000001)^3*EXP(4.5*1.8^2))</f>
        <v>14675684910044970</v>
      </c>
      <c r="P103" s="19">
        <v>87</v>
      </c>
      <c r="Q103" s="19">
        <v>3</v>
      </c>
      <c r="R103" s="20">
        <f t="shared" si="81"/>
        <v>5.1</v>
      </c>
      <c r="S103" s="20">
        <f t="shared" si="82"/>
        <v>5.1</v>
      </c>
      <c r="T103" s="20">
        <f t="shared" si="83"/>
        <v>8.83</v>
      </c>
      <c r="U103" s="20">
        <f t="shared" si="84"/>
        <v>11.1</v>
      </c>
      <c r="V103" s="20">
        <f t="shared" si="73"/>
        <v>0.167</v>
      </c>
      <c r="W103" s="17">
        <f>(V103*1000)/((3.1415/6)*1000*('[1]PM number'!$E$16*0.000000001)^3*EXP(4.5*1.8^2))</f>
        <v>2602165549082669.5</v>
      </c>
      <c r="X103">
        <f t="shared" si="85"/>
        <v>0.028389282260656543</v>
      </c>
      <c r="Y103" s="19">
        <v>46</v>
      </c>
      <c r="Z103" s="19">
        <v>5.5</v>
      </c>
      <c r="AA103" s="20">
        <f t="shared" si="86"/>
        <v>7.5</v>
      </c>
      <c r="AB103" s="20">
        <f t="shared" si="87"/>
        <v>3.6</v>
      </c>
      <c r="AC103" s="20">
        <f t="shared" si="88"/>
        <v>17.57</v>
      </c>
      <c r="AD103" s="20">
        <f t="shared" si="89"/>
        <v>22.4</v>
      </c>
      <c r="AE103" s="20">
        <f t="shared" si="74"/>
        <v>0.139</v>
      </c>
      <c r="AF103" s="17">
        <f>(AE103*1000)/((3.1415/6)*1000*('[1]PM number'!$D$16*0.000000001)^3*EXP(4.5*1.8^2))</f>
        <v>8721061367377082</v>
      </c>
      <c r="AG103" s="17">
        <f t="shared" si="90"/>
        <v>0.022716527663729724</v>
      </c>
      <c r="AH103" s="21">
        <f t="shared" si="68"/>
        <v>16.4</v>
      </c>
      <c r="AI103" s="21">
        <f t="shared" si="69"/>
        <v>59.5</v>
      </c>
      <c r="AJ103" s="21">
        <f t="shared" si="61"/>
        <v>438.2</v>
      </c>
      <c r="AK103" s="21">
        <f t="shared" si="70"/>
        <v>571.2</v>
      </c>
      <c r="AL103" s="21">
        <f t="shared" si="71"/>
        <v>2.3</v>
      </c>
      <c r="AM103" s="21">
        <f t="shared" si="62"/>
        <v>25998911826504720</v>
      </c>
      <c r="AN103" s="19">
        <v>1</v>
      </c>
      <c r="AO103" s="19">
        <v>80</v>
      </c>
      <c r="AP103" s="22">
        <f t="shared" si="91"/>
        <v>0.02745442221459005</v>
      </c>
      <c r="AQ103" s="22">
        <f t="shared" si="92"/>
        <v>4.9</v>
      </c>
      <c r="AR103" s="22">
        <f t="shared" si="93"/>
        <v>9.67</v>
      </c>
      <c r="AS103" s="22">
        <f t="shared" si="94"/>
        <v>12.1</v>
      </c>
      <c r="AT103" s="22">
        <f t="shared" si="75"/>
        <v>0.163</v>
      </c>
      <c r="AU103" s="23">
        <f t="shared" si="63"/>
        <v>98.8</v>
      </c>
      <c r="AV103" s="23">
        <f t="shared" si="64"/>
        <v>0.48</v>
      </c>
      <c r="AW103" s="23">
        <f t="shared" si="65"/>
        <v>0.96</v>
      </c>
      <c r="AX103" s="23">
        <f t="shared" si="66"/>
        <v>1.2</v>
      </c>
      <c r="AY103" s="23">
        <f t="shared" si="67"/>
        <v>16.1</v>
      </c>
      <c r="AZ103" s="23">
        <f>(AY103*1000)/((3.1415/6)*1000*('[1]PM number'!$F$12*0.000000001)^3*EXP(4.5*1.8^2))</f>
        <v>4.7593248537810765E+17</v>
      </c>
    </row>
    <row r="104" spans="1:52" ht="25.5">
      <c r="A104" s="24" t="s">
        <v>322</v>
      </c>
      <c r="B104" s="25" t="s">
        <v>296</v>
      </c>
      <c r="C104" s="24" t="s">
        <v>323</v>
      </c>
      <c r="D104" s="24" t="s">
        <v>217</v>
      </c>
      <c r="E104" s="26">
        <v>400</v>
      </c>
      <c r="F104" s="26">
        <v>1</v>
      </c>
      <c r="G104" s="27">
        <v>13</v>
      </c>
      <c r="H104" s="28">
        <v>5</v>
      </c>
      <c r="I104" s="17">
        <f t="shared" si="76"/>
        <v>4.3</v>
      </c>
      <c r="J104" s="17">
        <f t="shared" si="77"/>
        <v>2</v>
      </c>
      <c r="K104" s="17">
        <f t="shared" si="78"/>
        <v>53.52</v>
      </c>
      <c r="L104" s="17">
        <f t="shared" si="79"/>
        <v>70.5</v>
      </c>
      <c r="M104" s="18">
        <f t="shared" si="80"/>
        <v>0.014303018401992705</v>
      </c>
      <c r="N104" s="17">
        <f t="shared" si="72"/>
        <v>0.118</v>
      </c>
      <c r="O104" s="17">
        <f>(N104*1000)/((3.1415/6)*1000*('[1]PM number'!C16*0.000000001)^3*EXP(4.5*1.8^2))</f>
        <v>15058528864220056</v>
      </c>
      <c r="P104" s="19">
        <v>87</v>
      </c>
      <c r="Q104" s="19">
        <v>3</v>
      </c>
      <c r="R104" s="20">
        <f t="shared" si="81"/>
        <v>5.7</v>
      </c>
      <c r="S104" s="20">
        <f t="shared" si="82"/>
        <v>5.9</v>
      </c>
      <c r="T104" s="20">
        <f t="shared" si="83"/>
        <v>6.87</v>
      </c>
      <c r="U104" s="20">
        <f t="shared" si="84"/>
        <v>8.5</v>
      </c>
      <c r="V104" s="20">
        <f t="shared" si="73"/>
        <v>0.182</v>
      </c>
      <c r="W104" s="17">
        <f>(V104*1000)/((3.1415/6)*1000*('[1]PM number'!$E$16*0.000000001)^3*EXP(4.5*1.8^2))</f>
        <v>2835892993611053</v>
      </c>
      <c r="X104">
        <f t="shared" si="85"/>
        <v>0.03179616652826012</v>
      </c>
      <c r="Y104" s="19">
        <v>46</v>
      </c>
      <c r="Z104" s="19">
        <v>5.5</v>
      </c>
      <c r="AA104" s="20">
        <f t="shared" si="86"/>
        <v>8.1</v>
      </c>
      <c r="AB104" s="20">
        <f t="shared" si="87"/>
        <v>4.1</v>
      </c>
      <c r="AC104" s="20">
        <f t="shared" si="88"/>
        <v>13.67</v>
      </c>
      <c r="AD104" s="20">
        <f t="shared" si="89"/>
        <v>17.3</v>
      </c>
      <c r="AE104" s="20">
        <f t="shared" si="74"/>
        <v>0.148</v>
      </c>
      <c r="AF104" s="17">
        <f>(AE104*1000)/((3.1415/6)*1000*('[1]PM number'!$D$16*0.000000001)^3*EXP(4.5*1.8^2))</f>
        <v>9285734405552576</v>
      </c>
      <c r="AG104" s="17">
        <f t="shared" si="90"/>
        <v>0.02458548003161293</v>
      </c>
      <c r="AH104" s="21">
        <f t="shared" si="68"/>
        <v>18.1</v>
      </c>
      <c r="AI104" s="21">
        <f t="shared" si="69"/>
        <v>75.4</v>
      </c>
      <c r="AJ104" s="21">
        <f t="shared" si="61"/>
        <v>380</v>
      </c>
      <c r="AK104" s="21">
        <f t="shared" si="70"/>
        <v>491.7</v>
      </c>
      <c r="AL104" s="21">
        <f t="shared" si="71"/>
        <v>2.7</v>
      </c>
      <c r="AM104" s="21">
        <f t="shared" si="62"/>
        <v>27180156263383684</v>
      </c>
      <c r="AN104" s="19">
        <v>1</v>
      </c>
      <c r="AO104" s="19">
        <v>80</v>
      </c>
      <c r="AP104" s="22">
        <f t="shared" si="91"/>
        <v>0.03040279709440002</v>
      </c>
      <c r="AQ104" s="22">
        <f t="shared" si="92"/>
        <v>5.6</v>
      </c>
      <c r="AR104" s="22">
        <f t="shared" si="93"/>
        <v>7.52</v>
      </c>
      <c r="AS104" s="22">
        <f t="shared" si="94"/>
        <v>9.4</v>
      </c>
      <c r="AT104" s="22">
        <f t="shared" si="75"/>
        <v>0.176</v>
      </c>
      <c r="AU104" s="23">
        <f t="shared" si="63"/>
        <v>109.5</v>
      </c>
      <c r="AV104" s="23">
        <f t="shared" si="64"/>
        <v>0.61</v>
      </c>
      <c r="AW104" s="23">
        <f t="shared" si="65"/>
        <v>0.82</v>
      </c>
      <c r="AX104" s="23">
        <f t="shared" si="66"/>
        <v>1.03</v>
      </c>
      <c r="AY104" s="23">
        <f t="shared" si="67"/>
        <v>19.3</v>
      </c>
      <c r="AZ104" s="23">
        <f>(AY104*1000)/((3.1415/6)*1000*('[1]PM number'!$F$12*0.000000001)^3*EXP(4.5*1.8^2))</f>
        <v>5.705277619749986E+17</v>
      </c>
    </row>
    <row r="105" spans="1:52" ht="25.5">
      <c r="A105" s="24" t="s">
        <v>322</v>
      </c>
      <c r="B105" s="25" t="s">
        <v>324</v>
      </c>
      <c r="C105" s="24" t="s">
        <v>325</v>
      </c>
      <c r="D105" s="24" t="s">
        <v>217</v>
      </c>
      <c r="E105" s="26">
        <v>400</v>
      </c>
      <c r="F105" s="26">
        <v>1</v>
      </c>
      <c r="G105" s="27">
        <v>13</v>
      </c>
      <c r="H105" s="28">
        <v>5</v>
      </c>
      <c r="I105" s="17">
        <f t="shared" si="76"/>
        <v>4.3</v>
      </c>
      <c r="J105" s="17">
        <f t="shared" si="77"/>
        <v>2</v>
      </c>
      <c r="K105" s="17">
        <f t="shared" si="78"/>
        <v>53.52</v>
      </c>
      <c r="L105" s="17">
        <f t="shared" si="79"/>
        <v>70.5</v>
      </c>
      <c r="M105" s="18">
        <f t="shared" si="80"/>
        <v>0.014303018401992705</v>
      </c>
      <c r="N105" s="17">
        <f t="shared" si="72"/>
        <v>0.118</v>
      </c>
      <c r="O105" s="17">
        <f>(N105*1000)/((3.1415/6)*1000*('[1]PM number'!C16*0.000000001)^3*EXP(4.5*1.8^2))</f>
        <v>15058528864220056</v>
      </c>
      <c r="P105" s="19">
        <v>87</v>
      </c>
      <c r="Q105" s="19">
        <v>3</v>
      </c>
      <c r="R105" s="20">
        <f t="shared" si="81"/>
        <v>5.7</v>
      </c>
      <c r="S105" s="20">
        <f t="shared" si="82"/>
        <v>5.9</v>
      </c>
      <c r="T105" s="20">
        <f t="shared" si="83"/>
        <v>6.87</v>
      </c>
      <c r="U105" s="20">
        <f t="shared" si="84"/>
        <v>8.5</v>
      </c>
      <c r="V105" s="20">
        <f t="shared" si="73"/>
        <v>0.182</v>
      </c>
      <c r="W105" s="17">
        <f>(V105*1000)/((3.1415/6)*1000*('[1]PM number'!$E$16*0.000000001)^3*EXP(4.5*1.8^2))</f>
        <v>2835892993611053</v>
      </c>
      <c r="X105">
        <f t="shared" si="85"/>
        <v>0.03179616652826012</v>
      </c>
      <c r="Y105" s="19">
        <v>46</v>
      </c>
      <c r="Z105" s="19">
        <v>5.5</v>
      </c>
      <c r="AA105" s="20">
        <f t="shared" si="86"/>
        <v>8.1</v>
      </c>
      <c r="AB105" s="20">
        <f t="shared" si="87"/>
        <v>4.1</v>
      </c>
      <c r="AC105" s="20">
        <f t="shared" si="88"/>
        <v>13.67</v>
      </c>
      <c r="AD105" s="20">
        <f t="shared" si="89"/>
        <v>17.3</v>
      </c>
      <c r="AE105" s="20">
        <f t="shared" si="74"/>
        <v>0.148</v>
      </c>
      <c r="AF105" s="17">
        <f>(AE105*1000)/((3.1415/6)*1000*('[1]PM number'!$D$16*0.000000001)^3*EXP(4.5*1.8^2))</f>
        <v>9285734405552576</v>
      </c>
      <c r="AG105" s="17">
        <f t="shared" si="90"/>
        <v>0.02458548003161293</v>
      </c>
      <c r="AH105" s="21">
        <f t="shared" si="68"/>
        <v>18.1</v>
      </c>
      <c r="AI105" s="21">
        <f t="shared" si="69"/>
        <v>75.4</v>
      </c>
      <c r="AJ105" s="21">
        <f t="shared" si="61"/>
        <v>380</v>
      </c>
      <c r="AK105" s="21">
        <f t="shared" si="70"/>
        <v>491.7</v>
      </c>
      <c r="AL105" s="21">
        <f t="shared" si="71"/>
        <v>2.7</v>
      </c>
      <c r="AM105" s="21">
        <f t="shared" si="62"/>
        <v>27180156263383684</v>
      </c>
      <c r="AN105" s="19">
        <v>1</v>
      </c>
      <c r="AO105" s="19">
        <v>80</v>
      </c>
      <c r="AP105" s="22">
        <f t="shared" si="91"/>
        <v>0.03040279709440002</v>
      </c>
      <c r="AQ105" s="22">
        <f t="shared" si="92"/>
        <v>5.6</v>
      </c>
      <c r="AR105" s="22">
        <f t="shared" si="93"/>
        <v>7.52</v>
      </c>
      <c r="AS105" s="22">
        <f t="shared" si="94"/>
        <v>9.4</v>
      </c>
      <c r="AT105" s="22">
        <f t="shared" si="75"/>
        <v>0.176</v>
      </c>
      <c r="AU105" s="23">
        <f t="shared" si="63"/>
        <v>109.5</v>
      </c>
      <c r="AV105" s="23">
        <f t="shared" si="64"/>
        <v>0.61</v>
      </c>
      <c r="AW105" s="23">
        <f t="shared" si="65"/>
        <v>0.82</v>
      </c>
      <c r="AX105" s="23">
        <f t="shared" si="66"/>
        <v>1.03</v>
      </c>
      <c r="AY105" s="23">
        <f t="shared" si="67"/>
        <v>19.3</v>
      </c>
      <c r="AZ105" s="23">
        <f>(AY105*1000)/((3.1415/6)*1000*('[1]PM number'!$F$12*0.000000001)^3*EXP(4.5*1.8^2))</f>
        <v>5.705277619749986E+17</v>
      </c>
    </row>
    <row r="106" spans="1:52" ht="25.5">
      <c r="A106" s="24" t="s">
        <v>322</v>
      </c>
      <c r="B106" s="25" t="s">
        <v>296</v>
      </c>
      <c r="C106" s="24" t="s">
        <v>323</v>
      </c>
      <c r="D106" s="24" t="s">
        <v>219</v>
      </c>
      <c r="E106" s="26">
        <v>420</v>
      </c>
      <c r="F106" s="26">
        <v>1</v>
      </c>
      <c r="G106" s="27">
        <v>13</v>
      </c>
      <c r="H106" s="28">
        <v>5</v>
      </c>
      <c r="I106" s="17">
        <f t="shared" si="76"/>
        <v>4.4</v>
      </c>
      <c r="J106" s="17">
        <f t="shared" si="77"/>
        <v>2</v>
      </c>
      <c r="K106" s="17">
        <f t="shared" si="78"/>
        <v>50.77</v>
      </c>
      <c r="L106" s="17">
        <f t="shared" si="79"/>
        <v>66.8</v>
      </c>
      <c r="M106" s="18">
        <f t="shared" si="80"/>
        <v>0.01466328615036814</v>
      </c>
      <c r="N106" s="17">
        <f t="shared" si="72"/>
        <v>0.118</v>
      </c>
      <c r="O106" s="17">
        <f>(N106*1000)/((3.1415/6)*1000*('[1]PM number'!C16*0.000000001)^3*EXP(4.5*1.8^2))</f>
        <v>15058528864220056</v>
      </c>
      <c r="P106" s="19">
        <v>87</v>
      </c>
      <c r="Q106" s="19">
        <v>3</v>
      </c>
      <c r="R106" s="20">
        <f t="shared" si="81"/>
        <v>5.9</v>
      </c>
      <c r="S106" s="20">
        <f t="shared" si="82"/>
        <v>6</v>
      </c>
      <c r="T106" s="20">
        <f t="shared" si="83"/>
        <v>6.51</v>
      </c>
      <c r="U106" s="20">
        <f t="shared" si="84"/>
        <v>8.1</v>
      </c>
      <c r="V106" s="20">
        <f t="shared" si="73"/>
        <v>0.186</v>
      </c>
      <c r="W106" s="17">
        <f>(V106*1000)/((3.1415/6)*1000*('[1]PM number'!$E$16*0.000000001)^3*EXP(4.5*1.8^2))</f>
        <v>2898220312151955.5</v>
      </c>
      <c r="X106">
        <f t="shared" si="85"/>
        <v>0.03270545102213905</v>
      </c>
      <c r="Y106" s="19">
        <v>46</v>
      </c>
      <c r="Z106" s="19">
        <v>5.5</v>
      </c>
      <c r="AA106" s="20">
        <f t="shared" si="86"/>
        <v>8.2</v>
      </c>
      <c r="AB106" s="20">
        <f t="shared" si="87"/>
        <v>4.2</v>
      </c>
      <c r="AC106" s="20">
        <f t="shared" si="88"/>
        <v>12.97</v>
      </c>
      <c r="AD106" s="20">
        <f t="shared" si="89"/>
        <v>16.4</v>
      </c>
      <c r="AE106" s="20">
        <f t="shared" si="74"/>
        <v>0.15</v>
      </c>
      <c r="AF106" s="17">
        <f>(AE106*1000)/((3.1415/6)*1000*('[1]PM number'!$D$16*0.000000001)^3*EXP(4.5*1.8^2))</f>
        <v>9411217302924908</v>
      </c>
      <c r="AG106" s="17">
        <f t="shared" si="90"/>
        <v>0.024983392546861855</v>
      </c>
      <c r="AH106" s="21">
        <f t="shared" si="68"/>
        <v>18.5</v>
      </c>
      <c r="AI106" s="21">
        <f t="shared" si="69"/>
        <v>78.6</v>
      </c>
      <c r="AJ106" s="21">
        <f t="shared" si="61"/>
        <v>368.2</v>
      </c>
      <c r="AK106" s="21">
        <f t="shared" si="70"/>
        <v>476.2</v>
      </c>
      <c r="AL106" s="21">
        <f t="shared" si="71"/>
        <v>2.8</v>
      </c>
      <c r="AM106" s="21">
        <f t="shared" si="62"/>
        <v>27367966479296920</v>
      </c>
      <c r="AN106" s="19">
        <v>0.9</v>
      </c>
      <c r="AO106" s="19">
        <v>80</v>
      </c>
      <c r="AP106" s="22">
        <f t="shared" si="91"/>
        <v>0.031187957491331072</v>
      </c>
      <c r="AQ106" s="22">
        <f t="shared" si="92"/>
        <v>5.7</v>
      </c>
      <c r="AR106" s="22">
        <f t="shared" si="93"/>
        <v>7.13</v>
      </c>
      <c r="AS106" s="22">
        <f t="shared" si="94"/>
        <v>8.9</v>
      </c>
      <c r="AT106" s="22">
        <f t="shared" si="75"/>
        <v>0.18</v>
      </c>
      <c r="AU106" s="23">
        <f t="shared" si="63"/>
        <v>101</v>
      </c>
      <c r="AV106" s="23">
        <f t="shared" si="64"/>
        <v>0.58</v>
      </c>
      <c r="AW106" s="23">
        <f t="shared" si="65"/>
        <v>0.72</v>
      </c>
      <c r="AX106" s="23">
        <f t="shared" si="66"/>
        <v>0.9</v>
      </c>
      <c r="AY106" s="23">
        <f t="shared" si="67"/>
        <v>18.2</v>
      </c>
      <c r="AZ106" s="23">
        <f>(AY106*1000)/((3.1415/6)*1000*('[1]PM number'!$F$12*0.000000001)^3*EXP(4.5*1.8^2))</f>
        <v>5.380106356448173E+17</v>
      </c>
    </row>
    <row r="107" spans="1:52" ht="25.5">
      <c r="A107" s="24" t="s">
        <v>322</v>
      </c>
      <c r="B107" s="25" t="s">
        <v>319</v>
      </c>
      <c r="C107" s="24" t="s">
        <v>326</v>
      </c>
      <c r="D107" s="24" t="s">
        <v>219</v>
      </c>
      <c r="E107" s="26">
        <v>420</v>
      </c>
      <c r="F107" s="26">
        <v>1</v>
      </c>
      <c r="G107" s="27">
        <v>13</v>
      </c>
      <c r="H107" s="28">
        <v>5</v>
      </c>
      <c r="I107" s="17">
        <f t="shared" si="76"/>
        <v>4.4</v>
      </c>
      <c r="J107" s="17">
        <f t="shared" si="77"/>
        <v>2</v>
      </c>
      <c r="K107" s="17">
        <f t="shared" si="78"/>
        <v>50.77</v>
      </c>
      <c r="L107" s="17">
        <f t="shared" si="79"/>
        <v>66.8</v>
      </c>
      <c r="M107" s="18">
        <f t="shared" si="80"/>
        <v>0.01466328615036814</v>
      </c>
      <c r="N107" s="17">
        <f t="shared" si="72"/>
        <v>0.118</v>
      </c>
      <c r="O107" s="17">
        <f>(N107*1000)/((3.1415/6)*1000*('[1]PM number'!C16*0.000000001)^3*EXP(4.5*1.8^2))</f>
        <v>15058528864220056</v>
      </c>
      <c r="P107" s="19">
        <v>87</v>
      </c>
      <c r="Q107" s="19">
        <v>3</v>
      </c>
      <c r="R107" s="20">
        <f t="shared" si="81"/>
        <v>5.9</v>
      </c>
      <c r="S107" s="20">
        <f t="shared" si="82"/>
        <v>6</v>
      </c>
      <c r="T107" s="20">
        <f t="shared" si="83"/>
        <v>6.51</v>
      </c>
      <c r="U107" s="20">
        <f t="shared" si="84"/>
        <v>8.1</v>
      </c>
      <c r="V107" s="20">
        <f t="shared" si="73"/>
        <v>0.186</v>
      </c>
      <c r="W107" s="17">
        <f>(V107*1000)/((3.1415/6)*1000*('[1]PM number'!$E$16*0.000000001)^3*EXP(4.5*1.8^2))</f>
        <v>2898220312151955.5</v>
      </c>
      <c r="X107">
        <f t="shared" si="85"/>
        <v>0.03270545102213905</v>
      </c>
      <c r="Y107" s="19">
        <v>46</v>
      </c>
      <c r="Z107" s="19">
        <v>5.5</v>
      </c>
      <c r="AA107" s="20">
        <f t="shared" si="86"/>
        <v>8.2</v>
      </c>
      <c r="AB107" s="20">
        <f t="shared" si="87"/>
        <v>4.2</v>
      </c>
      <c r="AC107" s="20">
        <f t="shared" si="88"/>
        <v>12.97</v>
      </c>
      <c r="AD107" s="20">
        <f t="shared" si="89"/>
        <v>16.4</v>
      </c>
      <c r="AE107" s="20">
        <f t="shared" si="74"/>
        <v>0.15</v>
      </c>
      <c r="AF107" s="17">
        <f>(AE107*1000)/((3.1415/6)*1000*('[1]PM number'!$D$16*0.000000001)^3*EXP(4.5*1.8^2))</f>
        <v>9411217302924908</v>
      </c>
      <c r="AG107" s="17">
        <f t="shared" si="90"/>
        <v>0.024983392546861855</v>
      </c>
      <c r="AH107" s="21">
        <f t="shared" si="68"/>
        <v>18.5</v>
      </c>
      <c r="AI107" s="21">
        <f t="shared" si="69"/>
        <v>78.6</v>
      </c>
      <c r="AJ107" s="21">
        <f t="shared" si="61"/>
        <v>368.2</v>
      </c>
      <c r="AK107" s="21">
        <f t="shared" si="70"/>
        <v>476.2</v>
      </c>
      <c r="AL107" s="21">
        <f t="shared" si="71"/>
        <v>2.8</v>
      </c>
      <c r="AM107" s="21">
        <f t="shared" si="62"/>
        <v>27367966479296920</v>
      </c>
      <c r="AN107" s="19">
        <v>1</v>
      </c>
      <c r="AO107" s="19">
        <v>80</v>
      </c>
      <c r="AP107" s="22">
        <f t="shared" si="91"/>
        <v>0.031187957491331072</v>
      </c>
      <c r="AQ107" s="22">
        <f t="shared" si="92"/>
        <v>5.7</v>
      </c>
      <c r="AR107" s="22">
        <f t="shared" si="93"/>
        <v>7.13</v>
      </c>
      <c r="AS107" s="22">
        <f t="shared" si="94"/>
        <v>8.9</v>
      </c>
      <c r="AT107" s="22">
        <f t="shared" si="75"/>
        <v>0.18</v>
      </c>
      <c r="AU107" s="23">
        <f t="shared" si="63"/>
        <v>112.3</v>
      </c>
      <c r="AV107" s="23">
        <f t="shared" si="64"/>
        <v>0.64</v>
      </c>
      <c r="AW107" s="23">
        <f t="shared" si="65"/>
        <v>0.8</v>
      </c>
      <c r="AX107" s="23">
        <f t="shared" si="66"/>
        <v>1</v>
      </c>
      <c r="AY107" s="23">
        <f t="shared" si="67"/>
        <v>20.2</v>
      </c>
      <c r="AZ107" s="23">
        <f>(AY107*1000)/((3.1415/6)*1000*('[1]PM number'!$F$12*0.000000001)^3*EXP(4.5*1.8^2))</f>
        <v>5.971326835178742E+17</v>
      </c>
    </row>
    <row r="108" spans="1:52" ht="25.5">
      <c r="A108" s="24" t="s">
        <v>322</v>
      </c>
      <c r="B108" s="25" t="s">
        <v>296</v>
      </c>
      <c r="C108" s="24" t="s">
        <v>323</v>
      </c>
      <c r="D108" s="24" t="s">
        <v>327</v>
      </c>
      <c r="E108" s="26">
        <v>420</v>
      </c>
      <c r="F108" s="26">
        <v>1</v>
      </c>
      <c r="G108" s="27">
        <v>13</v>
      </c>
      <c r="H108" s="28">
        <v>5</v>
      </c>
      <c r="I108" s="17">
        <f t="shared" si="76"/>
        <v>4.4</v>
      </c>
      <c r="J108" s="17">
        <f t="shared" si="77"/>
        <v>2</v>
      </c>
      <c r="K108" s="17">
        <f t="shared" si="78"/>
        <v>50.77</v>
      </c>
      <c r="L108" s="17">
        <f t="shared" si="79"/>
        <v>66.8</v>
      </c>
      <c r="M108" s="18">
        <f t="shared" si="80"/>
        <v>0.01466328615036814</v>
      </c>
      <c r="N108" s="17">
        <f t="shared" si="72"/>
        <v>0.118</v>
      </c>
      <c r="O108" s="17">
        <f>(N108*1000)/((3.1415/6)*1000*('[1]PM number'!C16*0.000000001)^3*EXP(4.5*1.8^2))</f>
        <v>15058528864220056</v>
      </c>
      <c r="P108" s="19">
        <v>87</v>
      </c>
      <c r="Q108" s="19">
        <v>3</v>
      </c>
      <c r="R108" s="20">
        <f t="shared" si="81"/>
        <v>5.9</v>
      </c>
      <c r="S108" s="20">
        <f t="shared" si="82"/>
        <v>6</v>
      </c>
      <c r="T108" s="20">
        <f t="shared" si="83"/>
        <v>6.51</v>
      </c>
      <c r="U108" s="20">
        <f t="shared" si="84"/>
        <v>8.1</v>
      </c>
      <c r="V108" s="20">
        <f t="shared" si="73"/>
        <v>0.186</v>
      </c>
      <c r="W108" s="17">
        <f>(V108*1000)/((3.1415/6)*1000*('[1]PM number'!$E$16*0.000000001)^3*EXP(4.5*1.8^2))</f>
        <v>2898220312151955.5</v>
      </c>
      <c r="X108">
        <f t="shared" si="85"/>
        <v>0.03270545102213905</v>
      </c>
      <c r="Y108" s="19">
        <v>46</v>
      </c>
      <c r="Z108" s="19">
        <v>5.5</v>
      </c>
      <c r="AA108" s="20">
        <f t="shared" si="86"/>
        <v>8.2</v>
      </c>
      <c r="AB108" s="20">
        <f t="shared" si="87"/>
        <v>4.2</v>
      </c>
      <c r="AC108" s="20">
        <f t="shared" si="88"/>
        <v>12.97</v>
      </c>
      <c r="AD108" s="20">
        <f t="shared" si="89"/>
        <v>16.4</v>
      </c>
      <c r="AE108" s="20">
        <f t="shared" si="74"/>
        <v>0.15</v>
      </c>
      <c r="AF108" s="17">
        <f>(AE108*1000)/((3.1415/6)*1000*('[1]PM number'!$D$16*0.000000001)^3*EXP(4.5*1.8^2))</f>
        <v>9411217302924908</v>
      </c>
      <c r="AG108" s="17">
        <f t="shared" si="90"/>
        <v>0.024983392546861855</v>
      </c>
      <c r="AH108" s="21">
        <f t="shared" si="68"/>
        <v>18.5</v>
      </c>
      <c r="AI108" s="21">
        <f t="shared" si="69"/>
        <v>78.6</v>
      </c>
      <c r="AJ108" s="21">
        <f t="shared" si="61"/>
        <v>368.2</v>
      </c>
      <c r="AK108" s="21">
        <f t="shared" si="70"/>
        <v>476.2</v>
      </c>
      <c r="AL108" s="21">
        <f t="shared" si="71"/>
        <v>2.8</v>
      </c>
      <c r="AM108" s="21">
        <f t="shared" si="62"/>
        <v>27367966479296920</v>
      </c>
      <c r="AN108" s="19">
        <v>0.9</v>
      </c>
      <c r="AO108" s="19">
        <v>80</v>
      </c>
      <c r="AP108" s="22">
        <f t="shared" si="91"/>
        <v>0.031187957491331072</v>
      </c>
      <c r="AQ108" s="22">
        <f t="shared" si="92"/>
        <v>5.7</v>
      </c>
      <c r="AR108" s="22">
        <f t="shared" si="93"/>
        <v>7.13</v>
      </c>
      <c r="AS108" s="22">
        <f t="shared" si="94"/>
        <v>8.9</v>
      </c>
      <c r="AT108" s="22">
        <f t="shared" si="75"/>
        <v>0.18</v>
      </c>
      <c r="AU108" s="23">
        <f t="shared" si="63"/>
        <v>101</v>
      </c>
      <c r="AV108" s="23">
        <f t="shared" si="64"/>
        <v>0.58</v>
      </c>
      <c r="AW108" s="23">
        <f t="shared" si="65"/>
        <v>0.72</v>
      </c>
      <c r="AX108" s="23">
        <f t="shared" si="66"/>
        <v>0.9</v>
      </c>
      <c r="AY108" s="23">
        <f t="shared" si="67"/>
        <v>18.2</v>
      </c>
      <c r="AZ108" s="23">
        <f>(AY108*1000)/((3.1415/6)*1000*('[1]PM number'!$F$12*0.000000001)^3*EXP(4.5*1.8^2))</f>
        <v>5.380106356448173E+17</v>
      </c>
    </row>
    <row r="109" spans="1:52" ht="25.5">
      <c r="A109" s="24" t="s">
        <v>328</v>
      </c>
      <c r="B109" s="25" t="s">
        <v>296</v>
      </c>
      <c r="C109" s="24" t="s">
        <v>323</v>
      </c>
      <c r="D109" s="24" t="s">
        <v>222</v>
      </c>
      <c r="E109" s="26">
        <v>450</v>
      </c>
      <c r="F109" s="26">
        <v>1</v>
      </c>
      <c r="G109" s="27">
        <v>13</v>
      </c>
      <c r="H109" s="28">
        <v>5</v>
      </c>
      <c r="I109" s="17">
        <f t="shared" si="76"/>
        <v>4.6</v>
      </c>
      <c r="J109" s="17">
        <f t="shared" si="77"/>
        <v>2.1</v>
      </c>
      <c r="K109" s="17">
        <f t="shared" si="78"/>
        <v>47.12</v>
      </c>
      <c r="L109" s="17">
        <f t="shared" si="79"/>
        <v>61.8</v>
      </c>
      <c r="M109" s="18">
        <f t="shared" si="80"/>
        <v>0.015185279532967257</v>
      </c>
      <c r="N109" s="17">
        <f t="shared" si="72"/>
        <v>0.119</v>
      </c>
      <c r="O109" s="17">
        <f>(N109*1000)/((3.1415/6)*1000*('[1]PM number'!C16*0.000000001)^3*EXP(4.5*1.8^2))</f>
        <v>15186143515611752</v>
      </c>
      <c r="P109" s="19">
        <v>87</v>
      </c>
      <c r="Q109" s="19">
        <v>3</v>
      </c>
      <c r="R109" s="20">
        <f t="shared" si="81"/>
        <v>6.1</v>
      </c>
      <c r="S109" s="20">
        <f t="shared" si="82"/>
        <v>6.3</v>
      </c>
      <c r="T109" s="20">
        <f t="shared" si="83"/>
        <v>6.05</v>
      </c>
      <c r="U109" s="20">
        <f t="shared" si="84"/>
        <v>7.5</v>
      </c>
      <c r="V109" s="20">
        <f t="shared" si="73"/>
        <v>0.191</v>
      </c>
      <c r="W109" s="17">
        <f>(V109*1000)/((3.1415/6)*1000*('[1]PM number'!$E$16*0.000000001)^3*EXP(4.5*1.8^2))</f>
        <v>2976129460328083.5</v>
      </c>
      <c r="X109">
        <f t="shared" si="85"/>
        <v>0.03412196125665286</v>
      </c>
      <c r="Y109" s="19">
        <v>46</v>
      </c>
      <c r="Z109" s="19">
        <v>5.5</v>
      </c>
      <c r="AA109" s="20">
        <f t="shared" si="86"/>
        <v>8.4</v>
      </c>
      <c r="AB109" s="20">
        <f t="shared" si="87"/>
        <v>4.4</v>
      </c>
      <c r="AC109" s="20">
        <f t="shared" si="88"/>
        <v>12.04</v>
      </c>
      <c r="AD109" s="20">
        <f t="shared" si="89"/>
        <v>15.2</v>
      </c>
      <c r="AE109" s="20">
        <f t="shared" si="74"/>
        <v>0.153</v>
      </c>
      <c r="AF109" s="17">
        <f>(AE109*1000)/((3.1415/6)*1000*('[1]PM number'!$D$16*0.000000001)^3*EXP(4.5*1.8^2))</f>
        <v>9599441648983406</v>
      </c>
      <c r="AG109" s="17">
        <f t="shared" si="90"/>
        <v>0.025559760487397883</v>
      </c>
      <c r="AH109" s="21">
        <f t="shared" si="68"/>
        <v>19.1</v>
      </c>
      <c r="AI109" s="21">
        <f t="shared" si="69"/>
        <v>85.1</v>
      </c>
      <c r="AJ109" s="21">
        <f t="shared" si="61"/>
        <v>354.8</v>
      </c>
      <c r="AK109" s="21">
        <f t="shared" si="70"/>
        <v>457.7</v>
      </c>
      <c r="AL109" s="21">
        <f t="shared" si="71"/>
        <v>3</v>
      </c>
      <c r="AM109" s="21">
        <f t="shared" si="62"/>
        <v>27761714624923240</v>
      </c>
      <c r="AN109" s="19">
        <v>0.9</v>
      </c>
      <c r="AO109" s="19">
        <v>80</v>
      </c>
      <c r="AP109" s="22">
        <f t="shared" si="91"/>
        <v>0.03241996901120002</v>
      </c>
      <c r="AQ109" s="22">
        <f t="shared" si="92"/>
        <v>6</v>
      </c>
      <c r="AR109" s="22">
        <f t="shared" si="93"/>
        <v>6.62</v>
      </c>
      <c r="AS109" s="22">
        <f t="shared" si="94"/>
        <v>8.2</v>
      </c>
      <c r="AT109" s="22">
        <f t="shared" si="75"/>
        <v>0.185</v>
      </c>
      <c r="AU109" s="23">
        <f t="shared" si="63"/>
        <v>105</v>
      </c>
      <c r="AV109" s="23">
        <f t="shared" si="64"/>
        <v>0.63</v>
      </c>
      <c r="AW109" s="23">
        <f t="shared" si="65"/>
        <v>0.7</v>
      </c>
      <c r="AX109" s="23">
        <f t="shared" si="66"/>
        <v>0.86</v>
      </c>
      <c r="AY109" s="23">
        <f t="shared" si="67"/>
        <v>19.4</v>
      </c>
      <c r="AZ109" s="23">
        <f>(AY109*1000)/((3.1415/6)*1000*('[1]PM number'!$F$12*0.000000001)^3*EXP(4.5*1.8^2))</f>
        <v>5.734838643686514E+17</v>
      </c>
    </row>
    <row r="110" spans="1:52" ht="25.5">
      <c r="A110" s="24" t="s">
        <v>328</v>
      </c>
      <c r="B110" s="25" t="s">
        <v>296</v>
      </c>
      <c r="C110" s="24" t="s">
        <v>329</v>
      </c>
      <c r="D110" s="24" t="s">
        <v>222</v>
      </c>
      <c r="E110" s="26">
        <v>450</v>
      </c>
      <c r="F110" s="26">
        <v>1</v>
      </c>
      <c r="G110" s="27">
        <v>13</v>
      </c>
      <c r="H110" s="28">
        <v>5</v>
      </c>
      <c r="I110" s="17">
        <f t="shared" si="76"/>
        <v>4.6</v>
      </c>
      <c r="J110" s="17">
        <f t="shared" si="77"/>
        <v>2.1</v>
      </c>
      <c r="K110" s="17">
        <f t="shared" si="78"/>
        <v>47.12</v>
      </c>
      <c r="L110" s="17">
        <f t="shared" si="79"/>
        <v>61.8</v>
      </c>
      <c r="M110" s="18">
        <f t="shared" si="80"/>
        <v>0.015185279532967257</v>
      </c>
      <c r="N110" s="17">
        <f t="shared" si="72"/>
        <v>0.119</v>
      </c>
      <c r="O110" s="17">
        <f>(N110*1000)/((3.1415/6)*1000*('[1]PM number'!C16*0.000000001)^3*EXP(4.5*1.8^2))</f>
        <v>15186143515611752</v>
      </c>
      <c r="P110" s="19">
        <v>87</v>
      </c>
      <c r="Q110" s="19">
        <v>3</v>
      </c>
      <c r="R110" s="20">
        <f t="shared" si="81"/>
        <v>6.1</v>
      </c>
      <c r="S110" s="20">
        <f t="shared" si="82"/>
        <v>6.3</v>
      </c>
      <c r="T110" s="20">
        <f t="shared" si="83"/>
        <v>6.05</v>
      </c>
      <c r="U110" s="20">
        <f t="shared" si="84"/>
        <v>7.5</v>
      </c>
      <c r="V110" s="20">
        <f t="shared" si="73"/>
        <v>0.191</v>
      </c>
      <c r="W110" s="17">
        <f>(V110*1000)/((3.1415/6)*1000*('[1]PM number'!$E$16*0.000000001)^3*EXP(4.5*1.8^2))</f>
        <v>2976129460328083.5</v>
      </c>
      <c r="X110">
        <f t="shared" si="85"/>
        <v>0.03412196125665286</v>
      </c>
      <c r="Y110" s="19">
        <v>46</v>
      </c>
      <c r="Z110" s="19">
        <v>5.5</v>
      </c>
      <c r="AA110" s="20">
        <f t="shared" si="86"/>
        <v>8.4</v>
      </c>
      <c r="AB110" s="20">
        <f t="shared" si="87"/>
        <v>4.4</v>
      </c>
      <c r="AC110" s="20">
        <f t="shared" si="88"/>
        <v>12.04</v>
      </c>
      <c r="AD110" s="20">
        <f t="shared" si="89"/>
        <v>15.2</v>
      </c>
      <c r="AE110" s="20">
        <f t="shared" si="74"/>
        <v>0.153</v>
      </c>
      <c r="AF110" s="17">
        <f>(AE110*1000)/((3.1415/6)*1000*('[1]PM number'!$D$16*0.000000001)^3*EXP(4.5*1.8^2))</f>
        <v>9599441648983406</v>
      </c>
      <c r="AG110" s="17">
        <f t="shared" si="90"/>
        <v>0.025559760487397883</v>
      </c>
      <c r="AH110" s="21">
        <f t="shared" si="68"/>
        <v>19.1</v>
      </c>
      <c r="AI110" s="21">
        <f t="shared" si="69"/>
        <v>85.1</v>
      </c>
      <c r="AJ110" s="21">
        <f t="shared" si="61"/>
        <v>354.8</v>
      </c>
      <c r="AK110" s="21">
        <f t="shared" si="70"/>
        <v>457.7</v>
      </c>
      <c r="AL110" s="21">
        <f t="shared" si="71"/>
        <v>3</v>
      </c>
      <c r="AM110" s="21">
        <f t="shared" si="62"/>
        <v>27761714624923240</v>
      </c>
      <c r="AN110" s="19">
        <v>1</v>
      </c>
      <c r="AO110" s="19">
        <v>80</v>
      </c>
      <c r="AP110" s="22">
        <f t="shared" si="91"/>
        <v>0.03241996901120002</v>
      </c>
      <c r="AQ110" s="22">
        <f t="shared" si="92"/>
        <v>6</v>
      </c>
      <c r="AR110" s="22">
        <f t="shared" si="93"/>
        <v>6.62</v>
      </c>
      <c r="AS110" s="22">
        <f t="shared" si="94"/>
        <v>8.2</v>
      </c>
      <c r="AT110" s="22">
        <f t="shared" si="75"/>
        <v>0.185</v>
      </c>
      <c r="AU110" s="23">
        <f t="shared" si="63"/>
        <v>116.7</v>
      </c>
      <c r="AV110" s="23">
        <f t="shared" si="64"/>
        <v>0.7</v>
      </c>
      <c r="AW110" s="23">
        <f t="shared" si="65"/>
        <v>0.77</v>
      </c>
      <c r="AX110" s="23">
        <f t="shared" si="66"/>
        <v>0.96</v>
      </c>
      <c r="AY110" s="23">
        <f t="shared" si="67"/>
        <v>21.6</v>
      </c>
      <c r="AZ110" s="23">
        <f>(AY110*1000)/((3.1415/6)*1000*('[1]PM number'!$F$12*0.000000001)^3*EXP(4.5*1.8^2))</f>
        <v>6.385181170290139E+17</v>
      </c>
    </row>
    <row r="111" spans="1:52" ht="25.5">
      <c r="A111" s="24" t="s">
        <v>328</v>
      </c>
      <c r="B111" s="25" t="s">
        <v>319</v>
      </c>
      <c r="C111" s="24" t="s">
        <v>330</v>
      </c>
      <c r="D111" s="24" t="s">
        <v>222</v>
      </c>
      <c r="E111" s="26">
        <v>450</v>
      </c>
      <c r="F111" s="26">
        <v>1</v>
      </c>
      <c r="G111" s="27">
        <v>13</v>
      </c>
      <c r="H111" s="28">
        <v>5</v>
      </c>
      <c r="I111" s="17">
        <f t="shared" si="76"/>
        <v>4.6</v>
      </c>
      <c r="J111" s="17">
        <f t="shared" si="77"/>
        <v>2.1</v>
      </c>
      <c r="K111" s="17">
        <f t="shared" si="78"/>
        <v>47.12</v>
      </c>
      <c r="L111" s="17">
        <f t="shared" si="79"/>
        <v>61.8</v>
      </c>
      <c r="M111" s="18">
        <f t="shared" si="80"/>
        <v>0.015185279532967257</v>
      </c>
      <c r="N111" s="17">
        <f t="shared" si="72"/>
        <v>0.119</v>
      </c>
      <c r="O111" s="17">
        <f>(N111*1000)/((3.1415/6)*1000*('[1]PM number'!C16*0.000000001)^3*EXP(4.5*1.8^2))</f>
        <v>15186143515611752</v>
      </c>
      <c r="P111" s="19">
        <v>87</v>
      </c>
      <c r="Q111" s="19">
        <v>3</v>
      </c>
      <c r="R111" s="20">
        <f t="shared" si="81"/>
        <v>6.1</v>
      </c>
      <c r="S111" s="20">
        <f t="shared" si="82"/>
        <v>6.3</v>
      </c>
      <c r="T111" s="20">
        <f t="shared" si="83"/>
        <v>6.05</v>
      </c>
      <c r="U111" s="20">
        <f t="shared" si="84"/>
        <v>7.5</v>
      </c>
      <c r="V111" s="20">
        <f t="shared" si="73"/>
        <v>0.191</v>
      </c>
      <c r="W111" s="17">
        <f>(V111*1000)/((3.1415/6)*1000*('[1]PM number'!$E$16*0.000000001)^3*EXP(4.5*1.8^2))</f>
        <v>2976129460328083.5</v>
      </c>
      <c r="X111">
        <f t="shared" si="85"/>
        <v>0.03412196125665286</v>
      </c>
      <c r="Y111" s="19">
        <v>46</v>
      </c>
      <c r="Z111" s="19">
        <v>5.5</v>
      </c>
      <c r="AA111" s="20">
        <f t="shared" si="86"/>
        <v>8.4</v>
      </c>
      <c r="AB111" s="20">
        <f t="shared" si="87"/>
        <v>4.4</v>
      </c>
      <c r="AC111" s="20">
        <f t="shared" si="88"/>
        <v>12.04</v>
      </c>
      <c r="AD111" s="20">
        <f t="shared" si="89"/>
        <v>15.2</v>
      </c>
      <c r="AE111" s="20">
        <f t="shared" si="74"/>
        <v>0.153</v>
      </c>
      <c r="AF111" s="17">
        <f>(AE111*1000)/((3.1415/6)*1000*('[1]PM number'!$D$16*0.000000001)^3*EXP(4.5*1.8^2))</f>
        <v>9599441648983406</v>
      </c>
      <c r="AG111" s="17">
        <f t="shared" si="90"/>
        <v>0.025559760487397883</v>
      </c>
      <c r="AH111" s="21">
        <f t="shared" si="68"/>
        <v>19.1</v>
      </c>
      <c r="AI111" s="21">
        <f t="shared" si="69"/>
        <v>85.1</v>
      </c>
      <c r="AJ111" s="21">
        <f t="shared" si="61"/>
        <v>354.8</v>
      </c>
      <c r="AK111" s="21">
        <f t="shared" si="70"/>
        <v>457.7</v>
      </c>
      <c r="AL111" s="21">
        <f t="shared" si="71"/>
        <v>3</v>
      </c>
      <c r="AM111" s="21">
        <f t="shared" si="62"/>
        <v>27761714624923240</v>
      </c>
      <c r="AN111" s="19">
        <v>1</v>
      </c>
      <c r="AO111" s="19">
        <v>80</v>
      </c>
      <c r="AP111" s="22">
        <f t="shared" si="91"/>
        <v>0.03241996901120002</v>
      </c>
      <c r="AQ111" s="22">
        <f t="shared" si="92"/>
        <v>6</v>
      </c>
      <c r="AR111" s="22">
        <f t="shared" si="93"/>
        <v>6.62</v>
      </c>
      <c r="AS111" s="22">
        <f t="shared" si="94"/>
        <v>8.2</v>
      </c>
      <c r="AT111" s="22">
        <f t="shared" si="75"/>
        <v>0.185</v>
      </c>
      <c r="AU111" s="23">
        <f t="shared" si="63"/>
        <v>116.7</v>
      </c>
      <c r="AV111" s="23">
        <f t="shared" si="64"/>
        <v>0.7</v>
      </c>
      <c r="AW111" s="23">
        <f t="shared" si="65"/>
        <v>0.77</v>
      </c>
      <c r="AX111" s="23">
        <f t="shared" si="66"/>
        <v>0.96</v>
      </c>
      <c r="AY111" s="23">
        <f t="shared" si="67"/>
        <v>21.6</v>
      </c>
      <c r="AZ111" s="23">
        <f>(AY111*1000)/((3.1415/6)*1000*('[1]PM number'!$F$12*0.000000001)^3*EXP(4.5*1.8^2))</f>
        <v>6.385181170290139E+17</v>
      </c>
    </row>
    <row r="112" spans="1:52" ht="25.5">
      <c r="A112" s="24" t="s">
        <v>328</v>
      </c>
      <c r="B112" s="25" t="s">
        <v>319</v>
      </c>
      <c r="C112" s="24" t="s">
        <v>331</v>
      </c>
      <c r="D112" s="24" t="s">
        <v>332</v>
      </c>
      <c r="E112" s="26">
        <v>450</v>
      </c>
      <c r="F112" s="26">
        <v>1</v>
      </c>
      <c r="G112" s="27">
        <v>13</v>
      </c>
      <c r="H112" s="28">
        <v>5</v>
      </c>
      <c r="I112" s="17">
        <f t="shared" si="76"/>
        <v>4.6</v>
      </c>
      <c r="J112" s="17">
        <f t="shared" si="77"/>
        <v>2.1</v>
      </c>
      <c r="K112" s="17">
        <f t="shared" si="78"/>
        <v>47.12</v>
      </c>
      <c r="L112" s="17">
        <f t="shared" si="79"/>
        <v>61.8</v>
      </c>
      <c r="M112" s="18">
        <f t="shared" si="80"/>
        <v>0.015185279532967257</v>
      </c>
      <c r="N112" s="17">
        <f t="shared" si="72"/>
        <v>0.119</v>
      </c>
      <c r="O112" s="17">
        <f>(N112*1000)/((3.1415/6)*1000*('[1]PM number'!C16*0.000000001)^3*EXP(4.5*1.8^2))</f>
        <v>15186143515611752</v>
      </c>
      <c r="P112" s="19">
        <v>87</v>
      </c>
      <c r="Q112" s="19">
        <v>3</v>
      </c>
      <c r="R112" s="20">
        <f t="shared" si="81"/>
        <v>6.1</v>
      </c>
      <c r="S112" s="20">
        <f t="shared" si="82"/>
        <v>6.3</v>
      </c>
      <c r="T112" s="20">
        <f t="shared" si="83"/>
        <v>6.05</v>
      </c>
      <c r="U112" s="20">
        <f t="shared" si="84"/>
        <v>7.5</v>
      </c>
      <c r="V112" s="20">
        <f t="shared" si="73"/>
        <v>0.191</v>
      </c>
      <c r="W112" s="17">
        <f>(V112*1000)/((3.1415/6)*1000*('[1]PM number'!$E$16*0.000000001)^3*EXP(4.5*1.8^2))</f>
        <v>2976129460328083.5</v>
      </c>
      <c r="X112">
        <f t="shared" si="85"/>
        <v>0.03412196125665286</v>
      </c>
      <c r="Y112" s="19">
        <v>46</v>
      </c>
      <c r="Z112" s="19">
        <v>5.5</v>
      </c>
      <c r="AA112" s="20">
        <f t="shared" si="86"/>
        <v>8.4</v>
      </c>
      <c r="AB112" s="20">
        <f t="shared" si="87"/>
        <v>4.4</v>
      </c>
      <c r="AC112" s="20">
        <f t="shared" si="88"/>
        <v>12.04</v>
      </c>
      <c r="AD112" s="20">
        <f t="shared" si="89"/>
        <v>15.2</v>
      </c>
      <c r="AE112" s="20">
        <f t="shared" si="74"/>
        <v>0.153</v>
      </c>
      <c r="AF112" s="17">
        <f>(AE112*1000)/((3.1415/6)*1000*('[1]PM number'!$D$16*0.000000001)^3*EXP(4.5*1.8^2))</f>
        <v>9599441648983406</v>
      </c>
      <c r="AG112" s="17">
        <f t="shared" si="90"/>
        <v>0.025559760487397883</v>
      </c>
      <c r="AH112" s="21">
        <f t="shared" si="68"/>
        <v>19.1</v>
      </c>
      <c r="AI112" s="21">
        <f t="shared" si="69"/>
        <v>85.1</v>
      </c>
      <c r="AJ112" s="21">
        <f t="shared" si="61"/>
        <v>354.8</v>
      </c>
      <c r="AK112" s="21">
        <f t="shared" si="70"/>
        <v>457.7</v>
      </c>
      <c r="AL112" s="21">
        <f t="shared" si="71"/>
        <v>3</v>
      </c>
      <c r="AM112" s="21">
        <f t="shared" si="62"/>
        <v>27761714624923240</v>
      </c>
      <c r="AN112" s="19">
        <v>1</v>
      </c>
      <c r="AO112" s="19">
        <v>80</v>
      </c>
      <c r="AP112" s="22">
        <f t="shared" si="91"/>
        <v>0.03241996901120002</v>
      </c>
      <c r="AQ112" s="22">
        <f t="shared" si="92"/>
        <v>6</v>
      </c>
      <c r="AR112" s="22">
        <f t="shared" si="93"/>
        <v>6.62</v>
      </c>
      <c r="AS112" s="22">
        <f t="shared" si="94"/>
        <v>8.2</v>
      </c>
      <c r="AT112" s="22">
        <f t="shared" si="75"/>
        <v>0.185</v>
      </c>
      <c r="AU112" s="23">
        <f t="shared" si="63"/>
        <v>116.7</v>
      </c>
      <c r="AV112" s="23">
        <f t="shared" si="64"/>
        <v>0.7</v>
      </c>
      <c r="AW112" s="23">
        <f t="shared" si="65"/>
        <v>0.77</v>
      </c>
      <c r="AX112" s="23">
        <f t="shared" si="66"/>
        <v>0.96</v>
      </c>
      <c r="AY112" s="23">
        <f t="shared" si="67"/>
        <v>21.6</v>
      </c>
      <c r="AZ112" s="23">
        <f>(AY112*1000)/((3.1415/6)*1000*('[1]PM number'!$F$12*0.000000001)^3*EXP(4.5*1.8^2))</f>
        <v>6.385181170290139E+17</v>
      </c>
    </row>
    <row r="113" spans="1:52" ht="25.5">
      <c r="A113" s="24" t="s">
        <v>328</v>
      </c>
      <c r="B113" s="25" t="s">
        <v>296</v>
      </c>
      <c r="C113" s="24" t="s">
        <v>323</v>
      </c>
      <c r="D113" s="24" t="s">
        <v>333</v>
      </c>
      <c r="E113" s="26">
        <v>450</v>
      </c>
      <c r="F113" s="26">
        <v>1</v>
      </c>
      <c r="G113" s="27">
        <v>13</v>
      </c>
      <c r="H113" s="28">
        <v>5</v>
      </c>
      <c r="I113" s="17">
        <f t="shared" si="76"/>
        <v>4.6</v>
      </c>
      <c r="J113" s="17">
        <f t="shared" si="77"/>
        <v>2.1</v>
      </c>
      <c r="K113" s="17">
        <f t="shared" si="78"/>
        <v>47.12</v>
      </c>
      <c r="L113" s="17">
        <f t="shared" si="79"/>
        <v>61.8</v>
      </c>
      <c r="M113" s="18">
        <f t="shared" si="80"/>
        <v>0.015185279532967257</v>
      </c>
      <c r="N113" s="17">
        <f t="shared" si="72"/>
        <v>0.119</v>
      </c>
      <c r="O113" s="17">
        <f>(N113*1000)/((3.1415/6)*1000*('[1]PM number'!C16*0.000000001)^3*EXP(4.5*1.8^2))</f>
        <v>15186143515611752</v>
      </c>
      <c r="P113" s="19">
        <v>87</v>
      </c>
      <c r="Q113" s="19">
        <v>3</v>
      </c>
      <c r="R113" s="20">
        <f t="shared" si="81"/>
        <v>6.1</v>
      </c>
      <c r="S113" s="20">
        <f t="shared" si="82"/>
        <v>6.3</v>
      </c>
      <c r="T113" s="20">
        <f t="shared" si="83"/>
        <v>6.05</v>
      </c>
      <c r="U113" s="20">
        <f t="shared" si="84"/>
        <v>7.5</v>
      </c>
      <c r="V113" s="20">
        <f t="shared" si="73"/>
        <v>0.191</v>
      </c>
      <c r="W113" s="17">
        <f>(V113*1000)/((3.1415/6)*1000*('[1]PM number'!$E$16*0.000000001)^3*EXP(4.5*1.8^2))</f>
        <v>2976129460328083.5</v>
      </c>
      <c r="X113">
        <f t="shared" si="85"/>
        <v>0.03412196125665286</v>
      </c>
      <c r="Y113" s="19">
        <v>46</v>
      </c>
      <c r="Z113" s="19">
        <v>5.5</v>
      </c>
      <c r="AA113" s="20">
        <f t="shared" si="86"/>
        <v>8.4</v>
      </c>
      <c r="AB113" s="20">
        <f t="shared" si="87"/>
        <v>4.4</v>
      </c>
      <c r="AC113" s="20">
        <f t="shared" si="88"/>
        <v>12.04</v>
      </c>
      <c r="AD113" s="20">
        <f t="shared" si="89"/>
        <v>15.2</v>
      </c>
      <c r="AE113" s="20">
        <f t="shared" si="74"/>
        <v>0.153</v>
      </c>
      <c r="AF113" s="17">
        <f>(AE113*1000)/((3.1415/6)*1000*('[1]PM number'!$D$16*0.000000001)^3*EXP(4.5*1.8^2))</f>
        <v>9599441648983406</v>
      </c>
      <c r="AG113" s="17">
        <f t="shared" si="90"/>
        <v>0.025559760487397883</v>
      </c>
      <c r="AH113" s="21">
        <f t="shared" si="68"/>
        <v>19.1</v>
      </c>
      <c r="AI113" s="21">
        <f t="shared" si="69"/>
        <v>85.1</v>
      </c>
      <c r="AJ113" s="21">
        <f t="shared" si="61"/>
        <v>354.8</v>
      </c>
      <c r="AK113" s="21">
        <f t="shared" si="70"/>
        <v>457.7</v>
      </c>
      <c r="AL113" s="21">
        <f t="shared" si="71"/>
        <v>3</v>
      </c>
      <c r="AM113" s="21">
        <f t="shared" si="62"/>
        <v>27761714624923240</v>
      </c>
      <c r="AN113" s="19">
        <v>0.9</v>
      </c>
      <c r="AO113" s="19">
        <v>80</v>
      </c>
      <c r="AP113" s="22">
        <f t="shared" si="91"/>
        <v>0.03241996901120002</v>
      </c>
      <c r="AQ113" s="22">
        <f t="shared" si="92"/>
        <v>6</v>
      </c>
      <c r="AR113" s="22">
        <f t="shared" si="93"/>
        <v>6.62</v>
      </c>
      <c r="AS113" s="22">
        <f t="shared" si="94"/>
        <v>8.2</v>
      </c>
      <c r="AT113" s="22">
        <f t="shared" si="75"/>
        <v>0.185</v>
      </c>
      <c r="AU113" s="23">
        <f t="shared" si="63"/>
        <v>105</v>
      </c>
      <c r="AV113" s="23">
        <f t="shared" si="64"/>
        <v>0.63</v>
      </c>
      <c r="AW113" s="23">
        <f t="shared" si="65"/>
        <v>0.7</v>
      </c>
      <c r="AX113" s="23">
        <f t="shared" si="66"/>
        <v>0.86</v>
      </c>
      <c r="AY113" s="23">
        <f t="shared" si="67"/>
        <v>19.4</v>
      </c>
      <c r="AZ113" s="23">
        <f>(AY113*1000)/((3.1415/6)*1000*('[1]PM number'!$F$12*0.000000001)^3*EXP(4.5*1.8^2))</f>
        <v>5.734838643686514E+17</v>
      </c>
    </row>
    <row r="114" spans="1:52" ht="25.5">
      <c r="A114" s="30" t="s">
        <v>322</v>
      </c>
      <c r="B114" s="25" t="s">
        <v>334</v>
      </c>
      <c r="C114" s="24" t="s">
        <v>335</v>
      </c>
      <c r="D114" s="24" t="s">
        <v>336</v>
      </c>
      <c r="E114" s="26">
        <v>420</v>
      </c>
      <c r="F114" s="26">
        <v>1</v>
      </c>
      <c r="G114" s="27">
        <v>13</v>
      </c>
      <c r="H114" s="28">
        <v>5</v>
      </c>
      <c r="I114" s="17">
        <f t="shared" si="76"/>
        <v>4.4</v>
      </c>
      <c r="J114" s="17">
        <f t="shared" si="77"/>
        <v>2</v>
      </c>
      <c r="K114" s="17">
        <f t="shared" si="78"/>
        <v>50.77</v>
      </c>
      <c r="L114" s="17">
        <f t="shared" si="79"/>
        <v>66.8</v>
      </c>
      <c r="M114" s="18">
        <f t="shared" si="80"/>
        <v>0.01466328615036814</v>
      </c>
      <c r="N114" s="17">
        <f t="shared" si="72"/>
        <v>0.118</v>
      </c>
      <c r="O114" s="17">
        <f>(N114*1000)/((3.1415/6)*1000*('[1]PM number'!C16*0.000000001)^3*EXP(4.5*1.8^2))</f>
        <v>15058528864220056</v>
      </c>
      <c r="P114" s="19">
        <v>87</v>
      </c>
      <c r="Q114" s="19">
        <v>3</v>
      </c>
      <c r="R114" s="20">
        <f t="shared" si="81"/>
        <v>5.9</v>
      </c>
      <c r="S114" s="20">
        <f t="shared" si="82"/>
        <v>6</v>
      </c>
      <c r="T114" s="20">
        <f t="shared" si="83"/>
        <v>6.51</v>
      </c>
      <c r="U114" s="20">
        <f t="shared" si="84"/>
        <v>8.1</v>
      </c>
      <c r="V114" s="20">
        <f t="shared" si="73"/>
        <v>0.186</v>
      </c>
      <c r="W114" s="17">
        <f>(V114*1000)/((3.1415/6)*1000*('[1]PM number'!$E$16*0.000000001)^3*EXP(4.5*1.8^2))</f>
        <v>2898220312151955.5</v>
      </c>
      <c r="X114">
        <f t="shared" si="85"/>
        <v>0.03270545102213905</v>
      </c>
      <c r="Y114" s="19">
        <v>46</v>
      </c>
      <c r="Z114" s="19">
        <v>5.5</v>
      </c>
      <c r="AA114" s="20">
        <f t="shared" si="86"/>
        <v>8.2</v>
      </c>
      <c r="AB114" s="20">
        <f t="shared" si="87"/>
        <v>4.2</v>
      </c>
      <c r="AC114" s="20">
        <f t="shared" si="88"/>
        <v>12.97</v>
      </c>
      <c r="AD114" s="20">
        <f t="shared" si="89"/>
        <v>16.4</v>
      </c>
      <c r="AE114" s="20">
        <f t="shared" si="74"/>
        <v>0.15</v>
      </c>
      <c r="AF114" s="17">
        <f>(AE114*1000)/((3.1415/6)*1000*('[1]PM number'!$D$16*0.000000001)^3*EXP(4.5*1.8^2))</f>
        <v>9411217302924908</v>
      </c>
      <c r="AG114" s="17">
        <f t="shared" si="90"/>
        <v>0.024983392546861855</v>
      </c>
      <c r="AH114" s="21">
        <f t="shared" si="68"/>
        <v>18.5</v>
      </c>
      <c r="AI114" s="21">
        <f t="shared" si="69"/>
        <v>78.6</v>
      </c>
      <c r="AJ114" s="21">
        <f t="shared" si="61"/>
        <v>368.2</v>
      </c>
      <c r="AK114" s="21">
        <f t="shared" si="70"/>
        <v>476.2</v>
      </c>
      <c r="AL114" s="21">
        <f t="shared" si="71"/>
        <v>2.8</v>
      </c>
      <c r="AM114" s="21">
        <f t="shared" si="62"/>
        <v>27367966479296920</v>
      </c>
      <c r="AN114" s="19">
        <v>1</v>
      </c>
      <c r="AO114" s="19">
        <v>80</v>
      </c>
      <c r="AP114" s="22">
        <f t="shared" si="91"/>
        <v>0.031187957491331072</v>
      </c>
      <c r="AQ114" s="22">
        <f t="shared" si="92"/>
        <v>5.7</v>
      </c>
      <c r="AR114" s="22">
        <f t="shared" si="93"/>
        <v>7.13</v>
      </c>
      <c r="AS114" s="22">
        <f t="shared" si="94"/>
        <v>8.9</v>
      </c>
      <c r="AT114" s="22">
        <f t="shared" si="75"/>
        <v>0.18</v>
      </c>
      <c r="AU114" s="23">
        <f t="shared" si="63"/>
        <v>112.3</v>
      </c>
      <c r="AV114" s="23">
        <f t="shared" si="64"/>
        <v>0.64</v>
      </c>
      <c r="AW114" s="23">
        <f t="shared" si="65"/>
        <v>0.8</v>
      </c>
      <c r="AX114" s="23">
        <f t="shared" si="66"/>
        <v>1</v>
      </c>
      <c r="AY114" s="23">
        <f t="shared" si="67"/>
        <v>20.2</v>
      </c>
      <c r="AZ114" s="23">
        <f>(AY114*1000)/((3.1415/6)*1000*('[1]PM number'!$F$12*0.000000001)^3*EXP(4.5*1.8^2))</f>
        <v>5.971326835178742E+17</v>
      </c>
    </row>
    <row r="115" spans="1:52" ht="25.5">
      <c r="A115" s="30" t="s">
        <v>337</v>
      </c>
      <c r="B115" s="25" t="s">
        <v>296</v>
      </c>
      <c r="C115" s="24" t="s">
        <v>329</v>
      </c>
      <c r="D115" s="24" t="s">
        <v>338</v>
      </c>
      <c r="E115" s="26">
        <v>650</v>
      </c>
      <c r="F115" s="26">
        <v>1</v>
      </c>
      <c r="G115" s="27">
        <v>13</v>
      </c>
      <c r="H115" s="28">
        <v>5</v>
      </c>
      <c r="I115" s="17">
        <f t="shared" si="76"/>
        <v>5.4</v>
      </c>
      <c r="J115" s="17">
        <f t="shared" si="77"/>
        <v>2.6</v>
      </c>
      <c r="K115" s="17">
        <f t="shared" si="78"/>
        <v>31.68</v>
      </c>
      <c r="L115" s="17">
        <f t="shared" si="79"/>
        <v>41.1</v>
      </c>
      <c r="M115" s="18">
        <f t="shared" si="80"/>
        <v>0.018047081429959137</v>
      </c>
      <c r="N115" s="17">
        <f t="shared" si="72"/>
        <v>0.125</v>
      </c>
      <c r="O115" s="17">
        <f>(N115*1000)/((3.1415/6)*1000*('[1]PM number'!C16*0.000000001)^3*EXP(4.5*1.8^2))</f>
        <v>15951831423961924</v>
      </c>
      <c r="P115" s="19">
        <v>87</v>
      </c>
      <c r="Q115" s="19">
        <v>3</v>
      </c>
      <c r="R115" s="20">
        <f t="shared" si="81"/>
        <v>7.9</v>
      </c>
      <c r="S115" s="20">
        <f t="shared" si="82"/>
        <v>7.7</v>
      </c>
      <c r="T115" s="20">
        <f t="shared" si="83"/>
        <v>4.06</v>
      </c>
      <c r="U115" s="20">
        <f t="shared" si="84"/>
        <v>5</v>
      </c>
      <c r="V115" s="20">
        <f t="shared" si="73"/>
        <v>0.224</v>
      </c>
      <c r="W115" s="17">
        <f>(V115*1000)/((3.1415/6)*1000*('[1]PM number'!$E$16*0.000000001)^3*EXP(4.5*1.8^2))</f>
        <v>3490329838290527</v>
      </c>
      <c r="X115">
        <f t="shared" si="85"/>
        <v>0.0440543308389866</v>
      </c>
      <c r="Y115" s="19">
        <v>46</v>
      </c>
      <c r="Z115" s="19">
        <v>5.5</v>
      </c>
      <c r="AA115" s="20">
        <f t="shared" si="86"/>
        <v>10.3</v>
      </c>
      <c r="AB115" s="20">
        <f t="shared" si="87"/>
        <v>5.4</v>
      </c>
      <c r="AC115" s="20">
        <f t="shared" si="88"/>
        <v>8.09</v>
      </c>
      <c r="AD115" s="20">
        <f t="shared" si="89"/>
        <v>10.1</v>
      </c>
      <c r="AE115" s="20">
        <f t="shared" si="74"/>
        <v>0.172</v>
      </c>
      <c r="AF115" s="17">
        <f>(AE115*1000)/((3.1415/6)*1000*('[1]PM number'!$D$16*0.000000001)^3*EXP(4.5*1.8^2))</f>
        <v>10791529174020562</v>
      </c>
      <c r="AG115" s="17">
        <f t="shared" si="90"/>
        <v>0.03113820039595755</v>
      </c>
      <c r="AH115" s="21">
        <f t="shared" si="68"/>
        <v>23.6</v>
      </c>
      <c r="AI115" s="21">
        <f t="shared" si="69"/>
        <v>130.5</v>
      </c>
      <c r="AJ115" s="21">
        <f t="shared" si="61"/>
        <v>286.5</v>
      </c>
      <c r="AK115" s="21">
        <f t="shared" si="70"/>
        <v>365.5</v>
      </c>
      <c r="AL115" s="21">
        <f t="shared" si="71"/>
        <v>4.2</v>
      </c>
      <c r="AM115" s="21">
        <f t="shared" si="62"/>
        <v>30233690436273016</v>
      </c>
      <c r="AN115" s="19">
        <v>1</v>
      </c>
      <c r="AO115" s="19">
        <v>80</v>
      </c>
      <c r="AP115" s="22">
        <f t="shared" si="91"/>
        <v>0.04150042209305604</v>
      </c>
      <c r="AQ115" s="22">
        <f t="shared" si="92"/>
        <v>7.4</v>
      </c>
      <c r="AR115" s="22">
        <f t="shared" si="93"/>
        <v>4.45</v>
      </c>
      <c r="AS115" s="22">
        <f t="shared" si="94"/>
        <v>5.5</v>
      </c>
      <c r="AT115" s="22">
        <f t="shared" si="75"/>
        <v>0.216</v>
      </c>
      <c r="AU115" s="23">
        <f t="shared" si="63"/>
        <v>149.4</v>
      </c>
      <c r="AV115" s="23">
        <f t="shared" si="64"/>
        <v>1.11</v>
      </c>
      <c r="AW115" s="23">
        <f t="shared" si="65"/>
        <v>0.66</v>
      </c>
      <c r="AX115" s="23">
        <f t="shared" si="66"/>
        <v>0.82</v>
      </c>
      <c r="AY115" s="23">
        <f t="shared" si="67"/>
        <v>32.3</v>
      </c>
      <c r="AZ115" s="23">
        <f>(AY115*1000)/((3.1415/6)*1000*('[1]PM number'!$F$12*0.000000001)^3*EXP(4.5*1.8^2))</f>
        <v>9.548210731498679E+17</v>
      </c>
    </row>
    <row r="116" spans="1:52" ht="25.5">
      <c r="A116" s="24" t="s">
        <v>337</v>
      </c>
      <c r="B116" s="25" t="s">
        <v>296</v>
      </c>
      <c r="C116" s="24" t="s">
        <v>329</v>
      </c>
      <c r="D116" s="24" t="s">
        <v>231</v>
      </c>
      <c r="E116" s="26">
        <v>650</v>
      </c>
      <c r="F116" s="26">
        <v>1</v>
      </c>
      <c r="G116" s="27">
        <v>13</v>
      </c>
      <c r="H116" s="28">
        <v>5</v>
      </c>
      <c r="I116" s="17">
        <f t="shared" si="76"/>
        <v>5.4</v>
      </c>
      <c r="J116" s="17">
        <f t="shared" si="77"/>
        <v>2.6</v>
      </c>
      <c r="K116" s="17">
        <f t="shared" si="78"/>
        <v>31.68</v>
      </c>
      <c r="L116" s="17">
        <f t="shared" si="79"/>
        <v>41.1</v>
      </c>
      <c r="M116" s="18">
        <f t="shared" si="80"/>
        <v>0.018047081429959137</v>
      </c>
      <c r="N116" s="17">
        <f t="shared" si="72"/>
        <v>0.125</v>
      </c>
      <c r="O116" s="17">
        <f>(N116*1000)/((3.1415/6)*1000*('[1]PM number'!C16*0.000000001)^3*EXP(4.5*1.8^2))</f>
        <v>15951831423961924</v>
      </c>
      <c r="P116" s="19">
        <v>87</v>
      </c>
      <c r="Q116" s="19">
        <v>3</v>
      </c>
      <c r="R116" s="20">
        <f t="shared" si="81"/>
        <v>7.9</v>
      </c>
      <c r="S116" s="20">
        <f t="shared" si="82"/>
        <v>7.7</v>
      </c>
      <c r="T116" s="20">
        <f t="shared" si="83"/>
        <v>4.06</v>
      </c>
      <c r="U116" s="20">
        <f t="shared" si="84"/>
        <v>5</v>
      </c>
      <c r="V116" s="20">
        <f t="shared" si="73"/>
        <v>0.224</v>
      </c>
      <c r="W116" s="17">
        <f>(V116*1000)/((3.1415/6)*1000*('[1]PM number'!$E$16*0.000000001)^3*EXP(4.5*1.8^2))</f>
        <v>3490329838290527</v>
      </c>
      <c r="X116">
        <f t="shared" si="85"/>
        <v>0.0440543308389866</v>
      </c>
      <c r="Y116" s="19">
        <v>46</v>
      </c>
      <c r="Z116" s="19">
        <v>5.5</v>
      </c>
      <c r="AA116" s="20">
        <f t="shared" si="86"/>
        <v>10.3</v>
      </c>
      <c r="AB116" s="20">
        <f t="shared" si="87"/>
        <v>5.4</v>
      </c>
      <c r="AC116" s="20">
        <f t="shared" si="88"/>
        <v>8.09</v>
      </c>
      <c r="AD116" s="20">
        <f t="shared" si="89"/>
        <v>10.1</v>
      </c>
      <c r="AE116" s="20">
        <f t="shared" si="74"/>
        <v>0.172</v>
      </c>
      <c r="AF116" s="17">
        <f>(AE116*1000)/((3.1415/6)*1000*('[1]PM number'!$D$16*0.000000001)^3*EXP(4.5*1.8^2))</f>
        <v>10791529174020562</v>
      </c>
      <c r="AG116" s="17">
        <f t="shared" si="90"/>
        <v>0.03113820039595755</v>
      </c>
      <c r="AH116" s="21">
        <f t="shared" si="68"/>
        <v>23.6</v>
      </c>
      <c r="AI116" s="21">
        <f t="shared" si="69"/>
        <v>130.5</v>
      </c>
      <c r="AJ116" s="21">
        <f t="shared" si="61"/>
        <v>286.5</v>
      </c>
      <c r="AK116" s="21">
        <f t="shared" si="70"/>
        <v>365.5</v>
      </c>
      <c r="AL116" s="21">
        <f t="shared" si="71"/>
        <v>4.2</v>
      </c>
      <c r="AM116" s="21">
        <f t="shared" si="62"/>
        <v>30233690436273016</v>
      </c>
      <c r="AN116" s="19">
        <v>1</v>
      </c>
      <c r="AO116" s="19">
        <v>80</v>
      </c>
      <c r="AP116" s="22">
        <f t="shared" si="91"/>
        <v>0.04150042209305604</v>
      </c>
      <c r="AQ116" s="22">
        <f t="shared" si="92"/>
        <v>7.4</v>
      </c>
      <c r="AR116" s="22">
        <f t="shared" si="93"/>
        <v>4.45</v>
      </c>
      <c r="AS116" s="22">
        <f t="shared" si="94"/>
        <v>5.5</v>
      </c>
      <c r="AT116" s="22">
        <f t="shared" si="75"/>
        <v>0.216</v>
      </c>
      <c r="AU116" s="23">
        <f t="shared" si="63"/>
        <v>149.4</v>
      </c>
      <c r="AV116" s="23">
        <f t="shared" si="64"/>
        <v>1.11</v>
      </c>
      <c r="AW116" s="23">
        <f t="shared" si="65"/>
        <v>0.66</v>
      </c>
      <c r="AX116" s="23">
        <f t="shared" si="66"/>
        <v>0.82</v>
      </c>
      <c r="AY116" s="23">
        <f t="shared" si="67"/>
        <v>32.3</v>
      </c>
      <c r="AZ116" s="23">
        <f>(AY116*1000)/((3.1415/6)*1000*('[1]PM number'!$F$12*0.000000001)^3*EXP(4.5*1.8^2))</f>
        <v>9.548210731498679E+17</v>
      </c>
    </row>
    <row r="117" spans="1:52" ht="25.5">
      <c r="A117" s="24" t="s">
        <v>339</v>
      </c>
      <c r="B117" s="25" t="s">
        <v>340</v>
      </c>
      <c r="C117" s="24" t="s">
        <v>341</v>
      </c>
      <c r="D117" s="24" t="s">
        <v>342</v>
      </c>
      <c r="E117" s="26">
        <v>650</v>
      </c>
      <c r="F117" s="26">
        <v>1</v>
      </c>
      <c r="G117" s="27">
        <v>13</v>
      </c>
      <c r="H117" s="28">
        <v>5</v>
      </c>
      <c r="I117" s="17">
        <f t="shared" si="76"/>
        <v>5.4</v>
      </c>
      <c r="J117" s="17">
        <f t="shared" si="77"/>
        <v>2.6</v>
      </c>
      <c r="K117" s="17">
        <f t="shared" si="78"/>
        <v>31.68</v>
      </c>
      <c r="L117" s="17">
        <f t="shared" si="79"/>
        <v>41.1</v>
      </c>
      <c r="M117" s="18">
        <f t="shared" si="80"/>
        <v>0.018047081429959137</v>
      </c>
      <c r="N117" s="17">
        <f t="shared" si="72"/>
        <v>0.125</v>
      </c>
      <c r="O117" s="17">
        <f>(N117*1000)/((3.1415/6)*1000*('[1]PM number'!C16*0.000000001)^3*EXP(4.5*1.8^2))</f>
        <v>15951831423961924</v>
      </c>
      <c r="P117" s="19">
        <v>87</v>
      </c>
      <c r="Q117" s="19">
        <v>3</v>
      </c>
      <c r="R117" s="20">
        <f t="shared" si="81"/>
        <v>7.9</v>
      </c>
      <c r="S117" s="20">
        <f t="shared" si="82"/>
        <v>7.7</v>
      </c>
      <c r="T117" s="20">
        <f t="shared" si="83"/>
        <v>4.06</v>
      </c>
      <c r="U117" s="20">
        <f t="shared" si="84"/>
        <v>5</v>
      </c>
      <c r="V117" s="20">
        <f t="shared" si="73"/>
        <v>0.224</v>
      </c>
      <c r="W117" s="17">
        <f>(V117*1000)/((3.1415/6)*1000*('[1]PM number'!$E$16*0.000000001)^3*EXP(4.5*1.8^2))</f>
        <v>3490329838290527</v>
      </c>
      <c r="X117">
        <f t="shared" si="85"/>
        <v>0.0440543308389866</v>
      </c>
      <c r="Y117" s="19">
        <v>46</v>
      </c>
      <c r="Z117" s="19">
        <v>5.5</v>
      </c>
      <c r="AA117" s="20">
        <f t="shared" si="86"/>
        <v>10.3</v>
      </c>
      <c r="AB117" s="20">
        <f t="shared" si="87"/>
        <v>5.4</v>
      </c>
      <c r="AC117" s="20">
        <f t="shared" si="88"/>
        <v>8.09</v>
      </c>
      <c r="AD117" s="20">
        <f t="shared" si="89"/>
        <v>10.1</v>
      </c>
      <c r="AE117" s="20">
        <f t="shared" si="74"/>
        <v>0.172</v>
      </c>
      <c r="AF117" s="17">
        <f>(AE117*1000)/((3.1415/6)*1000*('[1]PM number'!$D$16*0.000000001)^3*EXP(4.5*1.8^2))</f>
        <v>10791529174020562</v>
      </c>
      <c r="AG117" s="17">
        <f t="shared" si="90"/>
        <v>0.03113820039595755</v>
      </c>
      <c r="AH117" s="21">
        <f t="shared" si="68"/>
        <v>23.6</v>
      </c>
      <c r="AI117" s="21">
        <f t="shared" si="69"/>
        <v>130.5</v>
      </c>
      <c r="AJ117" s="21">
        <f t="shared" si="61"/>
        <v>286.5</v>
      </c>
      <c r="AK117" s="21">
        <f t="shared" si="70"/>
        <v>365.5</v>
      </c>
      <c r="AL117" s="21">
        <f t="shared" si="71"/>
        <v>4.2</v>
      </c>
      <c r="AM117" s="21">
        <f t="shared" si="62"/>
        <v>30233690436273016</v>
      </c>
      <c r="AN117" s="19">
        <v>1</v>
      </c>
      <c r="AO117" s="19">
        <v>80</v>
      </c>
      <c r="AP117" s="22">
        <f t="shared" si="91"/>
        <v>0.04150042209305604</v>
      </c>
      <c r="AQ117" s="22">
        <f t="shared" si="92"/>
        <v>7.4</v>
      </c>
      <c r="AR117" s="22">
        <f t="shared" si="93"/>
        <v>4.45</v>
      </c>
      <c r="AS117" s="22">
        <f t="shared" si="94"/>
        <v>5.5</v>
      </c>
      <c r="AT117" s="22">
        <f t="shared" si="75"/>
        <v>0.216</v>
      </c>
      <c r="AU117" s="23">
        <f t="shared" si="63"/>
        <v>149.4</v>
      </c>
      <c r="AV117" s="23">
        <f t="shared" si="64"/>
        <v>1.11</v>
      </c>
      <c r="AW117" s="23">
        <f t="shared" si="65"/>
        <v>0.66</v>
      </c>
      <c r="AX117" s="23">
        <f t="shared" si="66"/>
        <v>0.82</v>
      </c>
      <c r="AY117" s="23">
        <f t="shared" si="67"/>
        <v>32.3</v>
      </c>
      <c r="AZ117" s="23">
        <f>(AY117*1000)/((3.1415/6)*1000*('[1]PM number'!$F$12*0.000000001)^3*EXP(4.5*1.8^2))</f>
        <v>9.548210731498679E+17</v>
      </c>
    </row>
    <row r="118" spans="1:52" ht="25.5">
      <c r="A118" s="24" t="s">
        <v>339</v>
      </c>
      <c r="B118" s="25" t="s">
        <v>343</v>
      </c>
      <c r="C118" s="24" t="s">
        <v>344</v>
      </c>
      <c r="D118" s="24" t="s">
        <v>345</v>
      </c>
      <c r="E118" s="26">
        <v>650</v>
      </c>
      <c r="F118" s="26">
        <v>1</v>
      </c>
      <c r="G118" s="27">
        <v>13</v>
      </c>
      <c r="H118" s="28">
        <v>5</v>
      </c>
      <c r="I118" s="17">
        <f t="shared" si="76"/>
        <v>5.4</v>
      </c>
      <c r="J118" s="17">
        <f t="shared" si="77"/>
        <v>2.6</v>
      </c>
      <c r="K118" s="17">
        <f t="shared" si="78"/>
        <v>31.68</v>
      </c>
      <c r="L118" s="17">
        <f t="shared" si="79"/>
        <v>41.1</v>
      </c>
      <c r="M118" s="18">
        <f t="shared" si="80"/>
        <v>0.018047081429959137</v>
      </c>
      <c r="N118" s="17">
        <f t="shared" si="72"/>
        <v>0.125</v>
      </c>
      <c r="O118" s="17">
        <f>(N118*1000)/((3.1415/6)*1000*('[1]PM number'!C16*0.000000001)^3*EXP(4.5*1.8^2))</f>
        <v>15951831423961924</v>
      </c>
      <c r="P118" s="19">
        <v>87</v>
      </c>
      <c r="Q118" s="19">
        <v>3</v>
      </c>
      <c r="R118" s="20">
        <f t="shared" si="81"/>
        <v>7.9</v>
      </c>
      <c r="S118" s="20">
        <f t="shared" si="82"/>
        <v>7.7</v>
      </c>
      <c r="T118" s="20">
        <f t="shared" si="83"/>
        <v>4.06</v>
      </c>
      <c r="U118" s="20">
        <f t="shared" si="84"/>
        <v>5</v>
      </c>
      <c r="V118" s="20">
        <f t="shared" si="73"/>
        <v>0.224</v>
      </c>
      <c r="W118" s="17">
        <f>(V118*1000)/((3.1415/6)*1000*('[1]PM number'!$E$16*0.000000001)^3*EXP(4.5*1.8^2))</f>
        <v>3490329838290527</v>
      </c>
      <c r="X118">
        <f t="shared" si="85"/>
        <v>0.0440543308389866</v>
      </c>
      <c r="Y118" s="19">
        <v>46</v>
      </c>
      <c r="Z118" s="19">
        <v>5.5</v>
      </c>
      <c r="AA118" s="20">
        <f t="shared" si="86"/>
        <v>10.3</v>
      </c>
      <c r="AB118" s="20">
        <f t="shared" si="87"/>
        <v>5.4</v>
      </c>
      <c r="AC118" s="20">
        <f t="shared" si="88"/>
        <v>8.09</v>
      </c>
      <c r="AD118" s="20">
        <f t="shared" si="89"/>
        <v>10.1</v>
      </c>
      <c r="AE118" s="20">
        <f t="shared" si="74"/>
        <v>0.172</v>
      </c>
      <c r="AF118" s="17">
        <f>(AE118*1000)/((3.1415/6)*1000*('[1]PM number'!$D$16*0.000000001)^3*EXP(4.5*1.8^2))</f>
        <v>10791529174020562</v>
      </c>
      <c r="AG118" s="17">
        <f t="shared" si="90"/>
        <v>0.03113820039595755</v>
      </c>
      <c r="AH118" s="21">
        <f t="shared" si="68"/>
        <v>23.6</v>
      </c>
      <c r="AI118" s="21">
        <f t="shared" si="69"/>
        <v>130.5</v>
      </c>
      <c r="AJ118" s="21">
        <f t="shared" si="61"/>
        <v>286.5</v>
      </c>
      <c r="AK118" s="21">
        <f t="shared" si="70"/>
        <v>365.5</v>
      </c>
      <c r="AL118" s="21">
        <f t="shared" si="71"/>
        <v>4.2</v>
      </c>
      <c r="AM118" s="21">
        <f t="shared" si="62"/>
        <v>30233690436273016</v>
      </c>
      <c r="AN118" s="19">
        <v>1</v>
      </c>
      <c r="AO118" s="19">
        <v>80</v>
      </c>
      <c r="AP118" s="22">
        <f t="shared" si="91"/>
        <v>0.04150042209305604</v>
      </c>
      <c r="AQ118" s="22">
        <f t="shared" si="92"/>
        <v>7.4</v>
      </c>
      <c r="AR118" s="22">
        <f t="shared" si="93"/>
        <v>4.45</v>
      </c>
      <c r="AS118" s="22">
        <f t="shared" si="94"/>
        <v>5.5</v>
      </c>
      <c r="AT118" s="22">
        <f t="shared" si="75"/>
        <v>0.216</v>
      </c>
      <c r="AU118" s="23">
        <f t="shared" si="63"/>
        <v>149.4</v>
      </c>
      <c r="AV118" s="23">
        <f t="shared" si="64"/>
        <v>1.11</v>
      </c>
      <c r="AW118" s="23">
        <f t="shared" si="65"/>
        <v>0.66</v>
      </c>
      <c r="AX118" s="23">
        <f t="shared" si="66"/>
        <v>0.82</v>
      </c>
      <c r="AY118" s="23">
        <f t="shared" si="67"/>
        <v>32.3</v>
      </c>
      <c r="AZ118" s="23">
        <f>(AY118*1000)/((3.1415/6)*1000*('[1]PM number'!$F$16*0.000000001)^3*EXP(4.5*1.8^2))</f>
        <v>5.906423306748223E+17</v>
      </c>
    </row>
    <row r="119" spans="1:52" ht="25.5">
      <c r="A119" s="24" t="s">
        <v>346</v>
      </c>
      <c r="B119" s="25" t="s">
        <v>347</v>
      </c>
      <c r="C119" s="24" t="s">
        <v>348</v>
      </c>
      <c r="D119" s="24" t="s">
        <v>349</v>
      </c>
      <c r="E119" s="26">
        <v>761</v>
      </c>
      <c r="F119" s="26">
        <v>1</v>
      </c>
      <c r="G119" s="27">
        <v>13</v>
      </c>
      <c r="H119" s="28">
        <v>5</v>
      </c>
      <c r="I119" s="17">
        <f t="shared" si="76"/>
        <v>5.8</v>
      </c>
      <c r="J119" s="17">
        <f t="shared" si="77"/>
        <v>2.9</v>
      </c>
      <c r="K119" s="17">
        <f t="shared" si="78"/>
        <v>26.72</v>
      </c>
      <c r="L119" s="17">
        <f t="shared" si="79"/>
        <v>34.5</v>
      </c>
      <c r="M119" s="18">
        <f t="shared" si="80"/>
        <v>0.01947346370380957</v>
      </c>
      <c r="N119" s="17">
        <f t="shared" si="72"/>
        <v>0.129</v>
      </c>
      <c r="O119" s="17">
        <f>(N119*1000)/((3.1415/6)*1000*('[1]PM number'!C16*0.000000001)^3*EXP(4.5*1.8^2))</f>
        <v>16462290029528704</v>
      </c>
      <c r="P119" s="19">
        <v>87</v>
      </c>
      <c r="Q119" s="19">
        <v>3</v>
      </c>
      <c r="R119" s="20">
        <f t="shared" si="81"/>
        <v>9</v>
      </c>
      <c r="S119" s="20">
        <f t="shared" si="82"/>
        <v>8.4</v>
      </c>
      <c r="T119" s="20">
        <f t="shared" si="83"/>
        <v>3.43</v>
      </c>
      <c r="U119" s="20">
        <f t="shared" si="84"/>
        <v>4.2</v>
      </c>
      <c r="V119" s="20">
        <f t="shared" si="73"/>
        <v>0.241</v>
      </c>
      <c r="W119" s="17">
        <f>(V119*1000)/((3.1415/6)*1000*('[1]PM number'!$E$16*0.000000001)^3*EXP(4.5*1.8^2))</f>
        <v>3755220942089361.5</v>
      </c>
      <c r="X119">
        <f t="shared" si="85"/>
        <v>0.04975162510288673</v>
      </c>
      <c r="Y119" s="19">
        <v>46</v>
      </c>
      <c r="Z119" s="19">
        <v>5.5</v>
      </c>
      <c r="AA119" s="20">
        <f t="shared" si="86"/>
        <v>11</v>
      </c>
      <c r="AB119" s="20">
        <f t="shared" si="87"/>
        <v>5.9</v>
      </c>
      <c r="AC119" s="20">
        <f t="shared" si="88"/>
        <v>6.82</v>
      </c>
      <c r="AD119" s="20">
        <f t="shared" si="89"/>
        <v>8.5</v>
      </c>
      <c r="AE119" s="20">
        <f t="shared" si="74"/>
        <v>0.183</v>
      </c>
      <c r="AF119" s="17">
        <f>(AE119*1000)/((3.1415/6)*1000*('[1]PM number'!$D$16*0.000000001)^3*EXP(4.5*1.8^2))</f>
        <v>11481685109568388</v>
      </c>
      <c r="AG119" s="17">
        <f t="shared" si="90"/>
        <v>0.03328668275948042</v>
      </c>
      <c r="AH119" s="21">
        <f t="shared" si="68"/>
        <v>25.8</v>
      </c>
      <c r="AI119" s="21">
        <f t="shared" si="69"/>
        <v>157.3</v>
      </c>
      <c r="AJ119" s="21">
        <f t="shared" si="61"/>
        <v>260.9</v>
      </c>
      <c r="AK119" s="21">
        <f t="shared" si="70"/>
        <v>331.4</v>
      </c>
      <c r="AL119" s="21">
        <f t="shared" si="71"/>
        <v>4.9</v>
      </c>
      <c r="AM119" s="21">
        <f t="shared" si="62"/>
        <v>31699196081186452</v>
      </c>
      <c r="AN119" s="19">
        <v>1</v>
      </c>
      <c r="AO119" s="19">
        <v>80</v>
      </c>
      <c r="AP119" s="22">
        <f t="shared" si="91"/>
        <v>0.04657921461325903</v>
      </c>
      <c r="AQ119" s="22">
        <f t="shared" si="92"/>
        <v>8</v>
      </c>
      <c r="AR119" s="22">
        <f t="shared" si="93"/>
        <v>3.75</v>
      </c>
      <c r="AS119" s="22">
        <f t="shared" si="94"/>
        <v>4.6</v>
      </c>
      <c r="AT119" s="22">
        <f t="shared" si="75"/>
        <v>0.232</v>
      </c>
      <c r="AU119" s="23">
        <f t="shared" si="63"/>
        <v>167.7</v>
      </c>
      <c r="AV119" s="23">
        <f t="shared" si="64"/>
        <v>1.34</v>
      </c>
      <c r="AW119" s="23">
        <f t="shared" si="65"/>
        <v>0.63</v>
      </c>
      <c r="AX119" s="23">
        <f t="shared" si="66"/>
        <v>0.77</v>
      </c>
      <c r="AY119" s="23">
        <f t="shared" si="67"/>
        <v>38.9</v>
      </c>
      <c r="AZ119" s="23">
        <f>(AY119*1000)/((3.1415/6)*1000*('[1]PM number'!$F$16*0.000000001)^3*EXP(4.5*1.8^2))</f>
        <v>7.113308564473868E+17</v>
      </c>
    </row>
    <row r="120" spans="1:52" ht="25.5">
      <c r="A120" s="24" t="s">
        <v>350</v>
      </c>
      <c r="B120" s="25" t="s">
        <v>275</v>
      </c>
      <c r="C120" s="24" t="s">
        <v>351</v>
      </c>
      <c r="D120" s="24" t="s">
        <v>352</v>
      </c>
      <c r="E120" s="26">
        <v>742</v>
      </c>
      <c r="F120" s="26">
        <v>1</v>
      </c>
      <c r="G120" s="27">
        <v>13</v>
      </c>
      <c r="H120" s="28">
        <v>5</v>
      </c>
      <c r="I120" s="17">
        <f t="shared" si="76"/>
        <v>5.8</v>
      </c>
      <c r="J120" s="17">
        <f t="shared" si="77"/>
        <v>2.8</v>
      </c>
      <c r="K120" s="17">
        <f t="shared" si="78"/>
        <v>27.46</v>
      </c>
      <c r="L120" s="17">
        <f t="shared" si="79"/>
        <v>35.5</v>
      </c>
      <c r="M120" s="18">
        <f t="shared" si="80"/>
        <v>0.019238771708898247</v>
      </c>
      <c r="N120" s="17">
        <f t="shared" si="72"/>
        <v>0.128</v>
      </c>
      <c r="O120" s="17">
        <f>(N120*1000)/((3.1415/6)*1000*('[1]PM number'!C16*0.000000001)^3*EXP(4.5*1.8^2))</f>
        <v>16334675378137010</v>
      </c>
      <c r="P120" s="19">
        <v>87</v>
      </c>
      <c r="Q120" s="19">
        <v>3</v>
      </c>
      <c r="R120" s="20">
        <f t="shared" si="81"/>
        <v>8.8</v>
      </c>
      <c r="S120" s="20">
        <f t="shared" si="82"/>
        <v>8.3</v>
      </c>
      <c r="T120" s="20">
        <f t="shared" si="83"/>
        <v>3.52</v>
      </c>
      <c r="U120" s="20">
        <f t="shared" si="84"/>
        <v>4.3</v>
      </c>
      <c r="V120" s="20">
        <f t="shared" si="73"/>
        <v>0.238</v>
      </c>
      <c r="W120" s="17">
        <f>(V120*1000)/((3.1415/6)*1000*('[1]PM number'!$E$16*0.000000001)^3*EXP(4.5*1.8^2))</f>
        <v>3708475453183685</v>
      </c>
      <c r="X120">
        <f t="shared" si="85"/>
        <v>0.04876353643462871</v>
      </c>
      <c r="Y120" s="19">
        <v>46</v>
      </c>
      <c r="Z120" s="19">
        <v>5.5</v>
      </c>
      <c r="AA120" s="20">
        <f t="shared" si="86"/>
        <v>10.9</v>
      </c>
      <c r="AB120" s="20">
        <f t="shared" si="87"/>
        <v>5.8</v>
      </c>
      <c r="AC120" s="20">
        <f t="shared" si="88"/>
        <v>7.01</v>
      </c>
      <c r="AD120" s="20">
        <f t="shared" si="89"/>
        <v>8.7</v>
      </c>
      <c r="AE120" s="20">
        <f t="shared" si="74"/>
        <v>0.181</v>
      </c>
      <c r="AF120" s="17">
        <f>(AE120*1000)/((3.1415/6)*1000*('[1]PM number'!$D$16*0.000000001)^3*EXP(4.5*1.8^2))</f>
        <v>11356202212196056</v>
      </c>
      <c r="AG120" s="17">
        <f t="shared" si="90"/>
        <v>0.03291528711886144</v>
      </c>
      <c r="AH120" s="21">
        <f t="shared" si="68"/>
        <v>25.5</v>
      </c>
      <c r="AI120" s="21">
        <f t="shared" si="69"/>
        <v>152.5</v>
      </c>
      <c r="AJ120" s="21">
        <f t="shared" si="61"/>
        <v>266.7</v>
      </c>
      <c r="AK120" s="21">
        <f t="shared" si="70"/>
        <v>338.6</v>
      </c>
      <c r="AL120" s="21">
        <f t="shared" si="71"/>
        <v>4.8</v>
      </c>
      <c r="AM120" s="21">
        <f t="shared" si="62"/>
        <v>31399353043516750</v>
      </c>
      <c r="AN120" s="19">
        <v>1</v>
      </c>
      <c r="AO120" s="19">
        <v>80</v>
      </c>
      <c r="AP120" s="22">
        <f t="shared" si="91"/>
        <v>0.04568489369001493</v>
      </c>
      <c r="AQ120" s="22">
        <f t="shared" si="92"/>
        <v>7.9</v>
      </c>
      <c r="AR120" s="22">
        <f t="shared" si="93"/>
        <v>3.86</v>
      </c>
      <c r="AS120" s="22">
        <f t="shared" si="94"/>
        <v>4.7</v>
      </c>
      <c r="AT120" s="22">
        <f t="shared" si="75"/>
        <v>0.229</v>
      </c>
      <c r="AU120" s="23">
        <f t="shared" si="63"/>
        <v>164.5</v>
      </c>
      <c r="AV120" s="23">
        <f t="shared" si="64"/>
        <v>1.3</v>
      </c>
      <c r="AW120" s="23">
        <f t="shared" si="65"/>
        <v>0.63</v>
      </c>
      <c r="AX120" s="23">
        <f t="shared" si="66"/>
        <v>0.77</v>
      </c>
      <c r="AY120" s="23">
        <f t="shared" si="67"/>
        <v>37.7</v>
      </c>
      <c r="AZ120" s="23">
        <f>(AY120*1000)/((3.1415/6)*1000*('[1]PM number'!$F$16*0.000000001)^3*EXP(4.5*1.8^2))</f>
        <v>6.893874881251023E+17</v>
      </c>
    </row>
    <row r="121" spans="1:52" ht="25.5">
      <c r="A121" s="24" t="s">
        <v>353</v>
      </c>
      <c r="B121" s="25" t="s">
        <v>354</v>
      </c>
      <c r="C121" s="24" t="s">
        <v>355</v>
      </c>
      <c r="D121" s="24" t="s">
        <v>356</v>
      </c>
      <c r="E121" s="26">
        <v>240</v>
      </c>
      <c r="F121" s="26">
        <v>1</v>
      </c>
      <c r="G121" s="27">
        <v>13</v>
      </c>
      <c r="H121" s="28">
        <v>5</v>
      </c>
      <c r="I121" s="17">
        <f t="shared" si="76"/>
        <v>3.3</v>
      </c>
      <c r="J121" s="17">
        <f t="shared" si="77"/>
        <v>1.5</v>
      </c>
      <c r="K121" s="17">
        <f t="shared" si="78"/>
        <v>92.92</v>
      </c>
      <c r="L121" s="17">
        <f t="shared" si="79"/>
        <v>124.3</v>
      </c>
      <c r="M121" s="18">
        <f t="shared" si="80"/>
        <v>0.011032866555967104</v>
      </c>
      <c r="N121" s="17">
        <f t="shared" si="72"/>
        <v>0.113</v>
      </c>
      <c r="O121" s="17">
        <f>(N121*1000)/((3.1415/6)*1000*('[1]PM number'!C16*0.000000001)^3*EXP(4.5*1.8^2))</f>
        <v>14420455607261578</v>
      </c>
      <c r="P121" s="19">
        <v>87</v>
      </c>
      <c r="Q121" s="19">
        <v>3</v>
      </c>
      <c r="R121" s="20">
        <f t="shared" si="81"/>
        <v>4.6</v>
      </c>
      <c r="S121" s="20">
        <f t="shared" si="82"/>
        <v>4.4</v>
      </c>
      <c r="T121" s="20">
        <f t="shared" si="83"/>
        <v>11.92</v>
      </c>
      <c r="U121" s="20">
        <f t="shared" si="84"/>
        <v>15.1</v>
      </c>
      <c r="V121" s="20">
        <f t="shared" si="73"/>
        <v>0.153</v>
      </c>
      <c r="W121" s="17">
        <f>(V121*1000)/((3.1415/6)*1000*('[1]PM number'!$E$16*0.000000001)^3*EXP(4.5*1.8^2))</f>
        <v>2384019934189511.5</v>
      </c>
      <c r="X121">
        <f t="shared" si="85"/>
        <v>0.02563365488206731</v>
      </c>
      <c r="Y121" s="19">
        <v>46</v>
      </c>
      <c r="Z121" s="19">
        <v>5.5</v>
      </c>
      <c r="AA121" s="20">
        <f t="shared" si="86"/>
        <v>6.7</v>
      </c>
      <c r="AB121" s="20">
        <f t="shared" si="87"/>
        <v>3.1</v>
      </c>
      <c r="AC121" s="20">
        <f t="shared" si="88"/>
        <v>23.73</v>
      </c>
      <c r="AD121" s="20">
        <f t="shared" si="89"/>
        <v>30.6</v>
      </c>
      <c r="AE121" s="20">
        <f t="shared" si="74"/>
        <v>0.131</v>
      </c>
      <c r="AF121" s="17">
        <f>(AE121*1000)/((3.1415/6)*1000*('[1]PM number'!$D$16*0.000000001)^3*EXP(4.5*1.8^2))</f>
        <v>8219129777887753</v>
      </c>
      <c r="AG121" s="17">
        <f t="shared" si="90"/>
        <v>0.020418361386901705</v>
      </c>
      <c r="AH121" s="21">
        <f t="shared" si="68"/>
        <v>14.6</v>
      </c>
      <c r="AI121" s="21">
        <f t="shared" si="69"/>
        <v>46</v>
      </c>
      <c r="AJ121" s="21">
        <f t="shared" si="61"/>
        <v>520.5</v>
      </c>
      <c r="AK121" s="21">
        <f t="shared" si="70"/>
        <v>684.7</v>
      </c>
      <c r="AL121" s="21">
        <f t="shared" si="71"/>
        <v>2</v>
      </c>
      <c r="AM121" s="21">
        <f t="shared" si="62"/>
        <v>25023605319338844</v>
      </c>
      <c r="AN121" s="19">
        <v>1</v>
      </c>
      <c r="AO121" s="19">
        <v>80</v>
      </c>
      <c r="AP121" s="22">
        <f t="shared" si="91"/>
        <v>0.024932226016047106</v>
      </c>
      <c r="AQ121" s="22">
        <f t="shared" si="92"/>
        <v>4.2</v>
      </c>
      <c r="AR121" s="22">
        <f t="shared" si="93"/>
        <v>13.05</v>
      </c>
      <c r="AS121" s="22">
        <f t="shared" si="94"/>
        <v>16.5</v>
      </c>
      <c r="AT121" s="22">
        <f t="shared" si="75"/>
        <v>0.149</v>
      </c>
      <c r="AU121" s="23">
        <f t="shared" si="63"/>
        <v>89.8</v>
      </c>
      <c r="AV121" s="23">
        <f t="shared" si="64"/>
        <v>0.38</v>
      </c>
      <c r="AW121" s="23">
        <f t="shared" si="65"/>
        <v>1.17</v>
      </c>
      <c r="AX121" s="23">
        <f t="shared" si="66"/>
        <v>1.48</v>
      </c>
      <c r="AY121" s="23">
        <f t="shared" si="67"/>
        <v>13.4</v>
      </c>
      <c r="AZ121" s="23">
        <f>(AY121*1000)/((3.1415/6)*1000*('[1]PM number'!$F$16*0.000000001)^3*EXP(4.5*1.8^2))</f>
        <v>2.4503427959884272E+17</v>
      </c>
    </row>
    <row r="122" spans="1:52" ht="25.5">
      <c r="A122" s="24" t="s">
        <v>357</v>
      </c>
      <c r="B122" s="25" t="s">
        <v>358</v>
      </c>
      <c r="C122" s="24" t="s">
        <v>359</v>
      </c>
      <c r="D122" s="24" t="s">
        <v>360</v>
      </c>
      <c r="E122" s="26">
        <v>900</v>
      </c>
      <c r="F122" s="26">
        <v>1</v>
      </c>
      <c r="G122" s="27">
        <v>13</v>
      </c>
      <c r="H122" s="28">
        <v>5</v>
      </c>
      <c r="I122" s="34">
        <f>ROUND((0.0216759549*(EXP(0.012261056*G122)))*(H122*60),1)</f>
        <v>7.6</v>
      </c>
      <c r="J122" s="34">
        <v>4.5</v>
      </c>
      <c r="K122" s="34">
        <v>8.36</v>
      </c>
      <c r="L122" s="34">
        <v>19.28</v>
      </c>
      <c r="M122" s="35">
        <v>0.026</v>
      </c>
      <c r="N122" s="34">
        <f t="shared" si="72"/>
        <v>0.133</v>
      </c>
      <c r="O122" s="34">
        <f>(N122*1000)/((3.1415/6)*1000*('[1]PM number'!C16*0.000000001)^3*EXP(4.5*1.8^2))</f>
        <v>16972748635095486</v>
      </c>
      <c r="P122" s="19">
        <v>87</v>
      </c>
      <c r="Q122" s="19">
        <v>3</v>
      </c>
      <c r="R122" s="20">
        <f>ROUND((0.0216759549*(EXP(0.012261056*P122)))*(Q122*60),1)</f>
        <v>11.3</v>
      </c>
      <c r="S122" s="20">
        <v>8.77</v>
      </c>
      <c r="T122" s="20">
        <v>0.23</v>
      </c>
      <c r="U122" s="20">
        <v>3.05</v>
      </c>
      <c r="V122" s="20">
        <f t="shared" si="73"/>
        <v>0.261</v>
      </c>
      <c r="W122" s="34">
        <f>(V122*1000)/((3.1415/6)*1000*('[1]PM number'!$E16*0.000000001)^3*EXP(4.5*1.8^2))</f>
        <v>4066857534793873</v>
      </c>
      <c r="X122">
        <v>0.059</v>
      </c>
      <c r="Y122" s="19">
        <v>46</v>
      </c>
      <c r="Z122" s="19">
        <v>5.5</v>
      </c>
      <c r="AA122" s="20">
        <f>ROUND((0.0216759549*(EXP(0.012261056*Y122)))*(Z122*60),1)</f>
        <v>12.6</v>
      </c>
      <c r="AB122" s="20">
        <v>6.06</v>
      </c>
      <c r="AC122" s="20">
        <v>1.68</v>
      </c>
      <c r="AD122" s="20">
        <v>8.47</v>
      </c>
      <c r="AE122" s="20">
        <f t="shared" si="74"/>
        <v>0.195</v>
      </c>
      <c r="AF122" s="34">
        <f>(AE122*1000)/((3.1415/6)*1000*('[1]PM number'!$D16*0.000000001)^3*EXP(4.5*1.8^2))</f>
        <v>12234582493802382</v>
      </c>
      <c r="AG122" s="34">
        <v>0.037</v>
      </c>
      <c r="AH122" s="21">
        <f t="shared" si="68"/>
        <v>31.5</v>
      </c>
      <c r="AI122" s="21">
        <f t="shared" si="69"/>
        <v>209.7</v>
      </c>
      <c r="AJ122" s="21">
        <f t="shared" si="61"/>
        <v>87.3</v>
      </c>
      <c r="AK122" s="21">
        <f t="shared" si="70"/>
        <v>287.7</v>
      </c>
      <c r="AL122" s="21">
        <f t="shared" si="71"/>
        <v>6.4</v>
      </c>
      <c r="AM122" s="21">
        <f t="shared" si="62"/>
        <v>33274188663691744</v>
      </c>
      <c r="AN122" s="19">
        <v>1</v>
      </c>
      <c r="AO122" s="19">
        <v>80</v>
      </c>
      <c r="AP122" s="34">
        <f>ROUND((0.0216759549*(EXP(0.012261056*AO122))),2)</f>
        <v>0.06</v>
      </c>
      <c r="AQ122" s="34">
        <f>ROUND(4.0104*(EXP(0.009*AO122)),1)</f>
        <v>8.2</v>
      </c>
      <c r="AR122" s="34">
        <f>ROUND(15.715078484*(EXP(-0.0485632216*AO122)),2)</f>
        <v>0.32</v>
      </c>
      <c r="AS122" s="34">
        <f>ROUND((26.6621014631*(EXP(-0.0249185002*AO122))),1)</f>
        <v>3.6</v>
      </c>
      <c r="AT122" s="34">
        <f t="shared" si="75"/>
        <v>0.251</v>
      </c>
      <c r="AU122" s="23">
        <f t="shared" si="63"/>
        <v>216</v>
      </c>
      <c r="AV122" s="23">
        <f t="shared" si="64"/>
        <v>1.77</v>
      </c>
      <c r="AW122" s="23">
        <f t="shared" si="65"/>
        <v>0.07</v>
      </c>
      <c r="AX122" s="23">
        <f t="shared" si="66"/>
        <v>0.78</v>
      </c>
      <c r="AY122" s="23">
        <f t="shared" si="67"/>
        <v>54.2</v>
      </c>
      <c r="AZ122" s="23">
        <f>(AY122*1000)/((3.1415/6)*1000*('[1]PM number'!$F$16*0.000000001)^3*EXP(4.5*1.8^2))</f>
        <v>9.911088025565132E+17</v>
      </c>
    </row>
    <row r="123" spans="1:52" ht="12.75">
      <c r="A123" s="24" t="s">
        <v>361</v>
      </c>
      <c r="B123" s="25" t="s">
        <v>362</v>
      </c>
      <c r="C123" s="24" t="s">
        <v>363</v>
      </c>
      <c r="D123" s="24" t="s">
        <v>100</v>
      </c>
      <c r="E123" s="26">
        <v>900</v>
      </c>
      <c r="F123" s="26">
        <v>1</v>
      </c>
      <c r="G123" s="27">
        <v>13</v>
      </c>
      <c r="H123" s="28">
        <v>5</v>
      </c>
      <c r="I123" s="34">
        <f>ROUND((0.0234762913*(EXP(0.0112076998*G123)))*(H123*60),1)</f>
        <v>8.1</v>
      </c>
      <c r="J123" s="34">
        <v>4.9</v>
      </c>
      <c r="K123" s="34">
        <v>28.3</v>
      </c>
      <c r="L123" s="34">
        <v>35.9</v>
      </c>
      <c r="M123" s="35">
        <v>0.024</v>
      </c>
      <c r="N123" s="34">
        <f t="shared" si="72"/>
        <v>0.133</v>
      </c>
      <c r="O123" s="34">
        <f>(N123*1000)/((3.1415/6)*1000*('[1]PM number'!C16*0.000000001)^3*EXP(4.5*1.8^2))</f>
        <v>16972748635095486</v>
      </c>
      <c r="P123" s="19">
        <v>87</v>
      </c>
      <c r="Q123" s="19">
        <v>3</v>
      </c>
      <c r="R123" s="20">
        <f>ROUND((0.0234762913*(EXP(0.0112076998*P123)))*(Q123*60),1)</f>
        <v>11.2</v>
      </c>
      <c r="S123" s="20">
        <v>10.7</v>
      </c>
      <c r="T123" s="20">
        <v>2.9</v>
      </c>
      <c r="U123" s="20">
        <v>1.6</v>
      </c>
      <c r="V123" s="20">
        <f t="shared" si="73"/>
        <v>0.261</v>
      </c>
      <c r="W123" s="34">
        <f>(V123*1000)/((3.1415/6)*1000*('[1]PM number'!$E16*0.000000001)^3*EXP(4.5*1.8^2))</f>
        <v>4066857534793873</v>
      </c>
      <c r="X123">
        <v>0.054</v>
      </c>
      <c r="Y123" s="19">
        <v>46</v>
      </c>
      <c r="Z123" s="19">
        <v>5.5</v>
      </c>
      <c r="AA123" s="20">
        <f>ROUND((0.0234762913*(EXP(0.0112076998*Y123)))*(Z123*60),1)</f>
        <v>13</v>
      </c>
      <c r="AB123" s="20">
        <v>7.4</v>
      </c>
      <c r="AC123" s="20">
        <v>10.5</v>
      </c>
      <c r="AD123" s="20">
        <v>9.1</v>
      </c>
      <c r="AE123" s="20">
        <f t="shared" si="74"/>
        <v>0.195</v>
      </c>
      <c r="AF123" s="34">
        <f>(AE123*1000)/((3.1415/6)*1000*('[1]PM number'!$D16*0.000000001)^3*EXP(4.5*1.8^2))</f>
        <v>12234582493802382</v>
      </c>
      <c r="AG123" s="34">
        <v>0.034</v>
      </c>
      <c r="AH123" s="21">
        <f t="shared" si="68"/>
        <v>32.3</v>
      </c>
      <c r="AI123" s="21">
        <f t="shared" si="69"/>
        <v>255.7</v>
      </c>
      <c r="AJ123" s="21">
        <f t="shared" si="61"/>
        <v>398.2</v>
      </c>
      <c r="AK123" s="21">
        <f t="shared" si="70"/>
        <v>427</v>
      </c>
      <c r="AL123" s="21">
        <f t="shared" si="71"/>
        <v>6.5</v>
      </c>
      <c r="AM123" s="21">
        <f t="shared" si="62"/>
        <v>33274188663691744</v>
      </c>
      <c r="AN123" s="19">
        <v>1</v>
      </c>
      <c r="AO123" s="19">
        <v>80</v>
      </c>
      <c r="AP123" s="34">
        <f>ROUND((0.0234762913*(EXP(0.0112076998*AO123))),2)</f>
        <v>0.06</v>
      </c>
      <c r="AQ123" s="34">
        <f>ROUND(0.000027*(AO123^3)-0.005358*(AO123^2)+0.38995*AO123+0.140391,2)</f>
        <v>10.87</v>
      </c>
      <c r="AR123" s="34">
        <f>ROUND(35.3375613359*(EXP(-0.0318730405*AO123)),2)</f>
        <v>2.76</v>
      </c>
      <c r="AS123" s="34">
        <f>ROUND((48.9437661861*(EXP(-0.0442810385*AO123))),1)</f>
        <v>1.4</v>
      </c>
      <c r="AT123" s="34">
        <f t="shared" si="75"/>
        <v>0.251</v>
      </c>
      <c r="AU123" s="23">
        <f t="shared" si="63"/>
        <v>216</v>
      </c>
      <c r="AV123" s="23">
        <f t="shared" si="64"/>
        <v>2.35</v>
      </c>
      <c r="AW123" s="23">
        <f t="shared" si="65"/>
        <v>0.6</v>
      </c>
      <c r="AX123" s="23">
        <f t="shared" si="66"/>
        <v>0.3</v>
      </c>
      <c r="AY123" s="23">
        <f t="shared" si="67"/>
        <v>54.2</v>
      </c>
      <c r="AZ123" s="23">
        <f>(AY123*1000)/((3.1415/6)*1000*('[1]PM number'!$F$16*0.000000001)^3*EXP(4.5*1.8^2))</f>
        <v>9.911088025565132E+17</v>
      </c>
    </row>
    <row r="124" spans="1:52" ht="25.5">
      <c r="A124" s="24" t="s">
        <v>339</v>
      </c>
      <c r="B124" s="29" t="s">
        <v>324</v>
      </c>
      <c r="C124" s="24" t="s">
        <v>325</v>
      </c>
      <c r="D124" s="24" t="s">
        <v>345</v>
      </c>
      <c r="E124" s="26">
        <v>808</v>
      </c>
      <c r="F124" s="26">
        <v>1</v>
      </c>
      <c r="G124" s="27">
        <v>13</v>
      </c>
      <c r="H124" s="28">
        <v>5</v>
      </c>
      <c r="I124" s="17">
        <f aca="true" t="shared" si="95" ref="I124:I131">ROUND(M124*300,1)</f>
        <v>6</v>
      </c>
      <c r="J124" s="17">
        <f aca="true" t="shared" si="96" ref="J124:J129">ROUND(0.2113*((G124/100)*E124)^0.5677,1)</f>
        <v>3</v>
      </c>
      <c r="K124" s="17">
        <f aca="true" t="shared" si="97" ref="K124:K129">ROUND(3819*((G124/100)*E124)^(-1.0801),2)</f>
        <v>25.04</v>
      </c>
      <c r="L124" s="17">
        <f aca="true" t="shared" si="98" ref="L124:L129">ROUND(5660*((G124/100)*E124)^-1.11,1)</f>
        <v>32.3</v>
      </c>
      <c r="M124" s="18">
        <f aca="true" t="shared" si="99" ref="M124:M129">IF($E124&gt;1000,4.0539*10^(-18)*((G124/100)*E124)^5-3.16298*10^(-14)*((G124/100)*E124)^4+9.2087*10^(-11)*((G124/100)*E124)^3-1.2156*10^(-7)*((G124/100)*E124)^2+1.1476*10^(-4)*((G124/100)*E124)+0.01256,IF($E124&gt;600,3.3158*10^(-16)*((G124/100)*E124)^5-1.0175*10^(-12)*((G124/100)*E124)^4+1.1627*10^(-9)*((G124/100)*E124)^3-5.9528*10^(-7)*((G124/100)*E124)^2+1.8168*10^(-4)*((G124/100)*E124)+0.0062945,2.197*10^(-15)*((G124/100)*E124)^5-4.4441*10^(-12)*((G124/100)*E124)^4+3.4208*10^(-9)*((G124/100)*E124)^3-1.2138*10^(-6)*((G124/100)*E124)^2+2.414*10^(-4)*((G124/100)*E124)+0.004583))</f>
        <v>0.020038086952520212</v>
      </c>
      <c r="N124" s="17">
        <f t="shared" si="72"/>
        <v>0.13</v>
      </c>
      <c r="O124" s="17">
        <f>(N124*1000)/((3.1415/6)*1000*('[1]PM number'!C16*0.000000001)^3*EXP(4.5*1.8^2))</f>
        <v>16589904680920400</v>
      </c>
      <c r="P124" s="19">
        <v>87</v>
      </c>
      <c r="Q124" s="19">
        <v>3</v>
      </c>
      <c r="R124" s="20">
        <f aca="true" t="shared" si="100" ref="R124:R131">ROUND(X124*(Q124*60),1)</f>
        <v>9.4</v>
      </c>
      <c r="S124" s="20">
        <f aca="true" t="shared" si="101" ref="S124:S129">ROUND(0.2113*((P124/100)*E124)^0.5677,1)</f>
        <v>8.7</v>
      </c>
      <c r="T124" s="20">
        <f aca="true" t="shared" si="102" ref="T124:T129">ROUND(3819*((P124/100)*E124)^(-1.0801),2)</f>
        <v>3.21</v>
      </c>
      <c r="U124" s="20">
        <f aca="true" t="shared" si="103" ref="U124:U129">ROUND(5660*((P124/100)*E124)^-1.11,1)</f>
        <v>3.9</v>
      </c>
      <c r="V124" s="20">
        <f t="shared" si="73"/>
        <v>0.248</v>
      </c>
      <c r="W124" s="17">
        <f>(V124*1000)/((3.1415/6)*1000*('[1]PM number'!$E$16*0.000000001)^3*EXP(4.5*1.8^2))</f>
        <v>3864293749535940.5</v>
      </c>
      <c r="X124">
        <f aca="true" t="shared" si="104" ref="X124:X129">IF($E124&gt;1000,4.0539*10^(-18)*((P124/100)*E124)^5-3.16298*10^(-14)*((P124/100)*E124)^4+9.2087*10^(-11)*((P124/100)*E124)^3-1.2156*10^(-7)*((P124/100)*E124)^2+1.1476*10^(-4)*((P124/100)*E124)+0.01256,IF($E124&gt;600,3.3158*10^(-16)*((P124/100)*E124)^5-1.0175*10^(-12)*((P124/100)*E124)^4+1.1627*10^(-9)*((P124/100)*E124)^3-5.9528*10^(-7)*((P124/100)*E124)^2+1.8168*10^(-4)*((P124/100)*E124)+0.0062945,2.197*10^(-15)*((P124/100)*E124)^5-4.4441*10^(-12)*((P124/100)*E124)^4+3.4208*10^(-9)*((P124/100)*E124)^3-1.2138*10^(-6)*((P124/100)*E124)^2+2.414*10^(-4)*((P124/100)*E124)+0.004583))</f>
        <v>0.052192377212948386</v>
      </c>
      <c r="Y124" s="19">
        <v>46</v>
      </c>
      <c r="Z124" s="19">
        <v>5.5</v>
      </c>
      <c r="AA124" s="20">
        <f aca="true" t="shared" si="105" ref="AA124:AA131">ROUND(AG124*(Z124*60),1)</f>
        <v>11.3</v>
      </c>
      <c r="AB124" s="20">
        <f aca="true" t="shared" si="106" ref="AB124:AB129">ROUND(0.2113*((Y124/100)*E124)^0.5677,1)</f>
        <v>6.1</v>
      </c>
      <c r="AC124" s="20">
        <f aca="true" t="shared" si="107" ref="AC124:AC129">ROUND(3819*((Y124/100)*E124)^(-1.0801),2)</f>
        <v>6.4</v>
      </c>
      <c r="AD124" s="20">
        <f aca="true" t="shared" si="108" ref="AD124:AD129">ROUND(5660*((Y124/100)*E124)^-1.11,1)</f>
        <v>7.9</v>
      </c>
      <c r="AE124" s="20">
        <f t="shared" si="74"/>
        <v>0.187</v>
      </c>
      <c r="AF124" s="17">
        <f>(AE124*1000)/((3.1415/6)*1000*('[1]PM number'!$D$16*0.000000001)^3*EXP(4.5*1.8^2))</f>
        <v>11732650904313052</v>
      </c>
      <c r="AG124" s="17">
        <f aca="true" t="shared" si="109" ref="AG124:AG129">IF($E124&gt;1000,4.0539*10^(-18)*((Y124/100)*E124)^5-3.16298*10^(-14)*((Y124/100)*E124)^4+9.2087*10^(-11)*((Y124/100)*E124)^3-1.2156*10^(-7)*((Y124/100)*E124)^2+1.1476*10^(-4)*((Y124/100)*E124)+0.01256,IF($E124&gt;600,3.3158*10^(-16)*((Y124/100)*E124)^5-1.0175*10^(-12)*((Y124/100)*E124)^4+1.1627*10^(-9)*((Y124/100)*E124)^3-5.9528*10^(-7)*((Y124/100)*E124)^2+1.8168*10^(-4)*((Y124/100)*E124)+0.0062945,2.197*10^(-15)*((Y124/100)*E124)^5-4.4441*10^(-12)*((Y124/100)*E124)^4+3.4208*10^(-9)*((Y124/100)*E124)^3-1.2138*10^(-6)*((Y124/100)*E124)^2+2.414*10^(-4)*((Y124/100)*E124)+0.004583))</f>
        <v>0.034219568910572346</v>
      </c>
      <c r="AH124" s="21">
        <f t="shared" si="68"/>
        <v>26.7</v>
      </c>
      <c r="AI124" s="21">
        <f t="shared" si="69"/>
        <v>168.7</v>
      </c>
      <c r="AJ124" s="21">
        <f t="shared" si="61"/>
        <v>252.7</v>
      </c>
      <c r="AK124" s="21">
        <f t="shared" si="70"/>
        <v>319.7</v>
      </c>
      <c r="AL124" s="21">
        <f t="shared" si="71"/>
        <v>5.2</v>
      </c>
      <c r="AM124" s="21">
        <f t="shared" si="62"/>
        <v>32186849334769390</v>
      </c>
      <c r="AN124" s="19">
        <v>1</v>
      </c>
      <c r="AO124" s="19">
        <v>80</v>
      </c>
      <c r="AP124" s="22">
        <f aca="true" t="shared" si="110" ref="AP124:AP129">IF($E124&gt;1000,4.0539*10^(-18)*((AO124/100)*E124)^5-3.16298*10^(-14)*((AO124/100)*E124)^4+9.2087*10^(-11)*((AO124/100)*E124)^3-1.2156*10^(-7)*((AO124/100)*E124)^2+1.1476*10^(-4)*((AO124/100)*E124)+0.01256,IF($E124&gt;600,3.3158*10^(-16)*((AO124/100)*E124)^5-1.0175*10^(-12)*((AO124/100)*E124)^4+1.1627*10^(-9)*((AO124/100)*E124)^3-5.9528*10^(-7)*((AO124/100)*E124)^2+1.8168*10^(-4)*((AO124/100)*E124)+0.0062945,2.197*10^(-15)*((AO124/100)*E124)^5-4.4441*10^(-12)*((AO124/100)*E124)^4+3.4208*10^(-9)*((AO124/100)*E124)^3-1.2138*10^(-6)*((AO124/100)*E124)^2+2.414*10^(-4)*((AO124/100)*E124)+0.004583))</f>
        <v>0.048814904239848585</v>
      </c>
      <c r="AQ124" s="22">
        <f aca="true" t="shared" si="111" ref="AQ124:AQ129">ROUND(0.2113*((AO124/100)*E124)^0.5677,1)</f>
        <v>8.3</v>
      </c>
      <c r="AR124" s="22">
        <f aca="true" t="shared" si="112" ref="AR124:AR129">ROUND(3819*((AO124/100)*E124)^(-1.0801),2)</f>
        <v>3.52</v>
      </c>
      <c r="AS124" s="22">
        <f aca="true" t="shared" si="113" ref="AS124:AS129">ROUND(5660*((AO124/100)*E124)^-1.11,1)</f>
        <v>4.3</v>
      </c>
      <c r="AT124" s="22">
        <f t="shared" si="75"/>
        <v>0.239</v>
      </c>
      <c r="AU124" s="23">
        <f t="shared" si="63"/>
        <v>175.7</v>
      </c>
      <c r="AV124" s="23">
        <f t="shared" si="64"/>
        <v>1.46</v>
      </c>
      <c r="AW124" s="23">
        <f t="shared" si="65"/>
        <v>0.62</v>
      </c>
      <c r="AX124" s="23">
        <f t="shared" si="66"/>
        <v>0.76</v>
      </c>
      <c r="AY124" s="23">
        <f t="shared" si="67"/>
        <v>42</v>
      </c>
      <c r="AZ124" s="23">
        <f>(AY124*1000)/((3.1415/6)*1000*('[1]PM number'!$F$16*0.000000001)^3*EXP(4.5*1.8^2))</f>
        <v>7.680178912799548E+17</v>
      </c>
    </row>
    <row r="125" spans="1:52" ht="25.5">
      <c r="A125" s="24" t="s">
        <v>364</v>
      </c>
      <c r="B125" s="25" t="s">
        <v>296</v>
      </c>
      <c r="C125" s="24" t="s">
        <v>365</v>
      </c>
      <c r="D125" s="24" t="s">
        <v>366</v>
      </c>
      <c r="E125" s="26">
        <v>420</v>
      </c>
      <c r="F125" s="26">
        <v>1</v>
      </c>
      <c r="G125" s="27">
        <v>13</v>
      </c>
      <c r="H125" s="28">
        <v>5</v>
      </c>
      <c r="I125" s="17">
        <f t="shared" si="95"/>
        <v>4.4</v>
      </c>
      <c r="J125" s="17">
        <f t="shared" si="96"/>
        <v>2</v>
      </c>
      <c r="K125" s="17">
        <f t="shared" si="97"/>
        <v>50.77</v>
      </c>
      <c r="L125" s="17">
        <f t="shared" si="98"/>
        <v>66.8</v>
      </c>
      <c r="M125" s="18">
        <f t="shared" si="99"/>
        <v>0.01466328615036814</v>
      </c>
      <c r="N125" s="17">
        <f t="shared" si="72"/>
        <v>0.118</v>
      </c>
      <c r="O125" s="17">
        <f>(N125*1000)/((3.1415/6)*1000*('[1]PM number'!C16*0.000000001)^3*EXP(4.5*1.8^2))</f>
        <v>15058528864220056</v>
      </c>
      <c r="P125" s="19">
        <v>87</v>
      </c>
      <c r="Q125" s="19">
        <v>3</v>
      </c>
      <c r="R125" s="20">
        <f t="shared" si="100"/>
        <v>5.9</v>
      </c>
      <c r="S125" s="20">
        <f t="shared" si="101"/>
        <v>6</v>
      </c>
      <c r="T125" s="20">
        <f t="shared" si="102"/>
        <v>6.51</v>
      </c>
      <c r="U125" s="20">
        <f t="shared" si="103"/>
        <v>8.1</v>
      </c>
      <c r="V125" s="20">
        <f t="shared" si="73"/>
        <v>0.186</v>
      </c>
      <c r="W125" s="17">
        <f>(V125*1000)/((3.1415/6)*1000*('[1]PM number'!$E$16*0.000000001)^3*EXP(4.5*1.8^2))</f>
        <v>2898220312151955.5</v>
      </c>
      <c r="X125">
        <f t="shared" si="104"/>
        <v>0.03270545102213905</v>
      </c>
      <c r="Y125" s="19">
        <v>46</v>
      </c>
      <c r="Z125" s="19">
        <v>5.5</v>
      </c>
      <c r="AA125" s="20">
        <f t="shared" si="105"/>
        <v>8.2</v>
      </c>
      <c r="AB125" s="20">
        <f t="shared" si="106"/>
        <v>4.2</v>
      </c>
      <c r="AC125" s="20">
        <f t="shared" si="107"/>
        <v>12.97</v>
      </c>
      <c r="AD125" s="20">
        <f t="shared" si="108"/>
        <v>16.4</v>
      </c>
      <c r="AE125" s="20">
        <f t="shared" si="74"/>
        <v>0.15</v>
      </c>
      <c r="AF125" s="17">
        <f>(AE125*1000)/((3.1415/6)*1000*('[1]PM number'!$D$16*0.000000001)^3*EXP(4.5*1.8^2))</f>
        <v>9411217302924908</v>
      </c>
      <c r="AG125" s="17">
        <f t="shared" si="109"/>
        <v>0.024983392546861855</v>
      </c>
      <c r="AH125" s="21">
        <f t="shared" si="68"/>
        <v>18.5</v>
      </c>
      <c r="AI125" s="21">
        <f t="shared" si="69"/>
        <v>78.6</v>
      </c>
      <c r="AJ125" s="21">
        <f t="shared" si="61"/>
        <v>368.2</v>
      </c>
      <c r="AK125" s="21">
        <f t="shared" si="70"/>
        <v>476.2</v>
      </c>
      <c r="AL125" s="21">
        <f t="shared" si="71"/>
        <v>2.8</v>
      </c>
      <c r="AM125" s="21">
        <f t="shared" si="62"/>
        <v>27367966479296920</v>
      </c>
      <c r="AN125" s="19">
        <v>1</v>
      </c>
      <c r="AO125" s="19">
        <v>80</v>
      </c>
      <c r="AP125" s="22">
        <f t="shared" si="110"/>
        <v>0.031187957491331072</v>
      </c>
      <c r="AQ125" s="22">
        <f t="shared" si="111"/>
        <v>5.7</v>
      </c>
      <c r="AR125" s="22">
        <f t="shared" si="112"/>
        <v>7.13</v>
      </c>
      <c r="AS125" s="22">
        <f t="shared" si="113"/>
        <v>8.9</v>
      </c>
      <c r="AT125" s="22">
        <f t="shared" si="75"/>
        <v>0.18</v>
      </c>
      <c r="AU125" s="23">
        <f t="shared" si="63"/>
        <v>112.3</v>
      </c>
      <c r="AV125" s="23">
        <f t="shared" si="64"/>
        <v>0.64</v>
      </c>
      <c r="AW125" s="23">
        <f t="shared" si="65"/>
        <v>0.8</v>
      </c>
      <c r="AX125" s="23">
        <f t="shared" si="66"/>
        <v>1</v>
      </c>
      <c r="AY125" s="23">
        <f t="shared" si="67"/>
        <v>20.2</v>
      </c>
      <c r="AZ125" s="23">
        <f>(AY125*1000)/((3.1415/6)*1000*('[1]PM number'!$F$16*0.000000001)^3*EXP(4.5*1.8^2))</f>
        <v>3.6938003342512115E+17</v>
      </c>
    </row>
    <row r="126" spans="1:52" ht="12.75">
      <c r="A126" s="24" t="s">
        <v>367</v>
      </c>
      <c r="B126" s="25" t="s">
        <v>368</v>
      </c>
      <c r="C126" s="24" t="s">
        <v>369</v>
      </c>
      <c r="D126" s="24" t="s">
        <v>370</v>
      </c>
      <c r="E126" s="26">
        <v>1500</v>
      </c>
      <c r="F126" s="26">
        <v>1</v>
      </c>
      <c r="G126" s="27">
        <v>13</v>
      </c>
      <c r="H126" s="28">
        <v>5</v>
      </c>
      <c r="I126" s="17">
        <f t="shared" si="95"/>
        <v>9.3</v>
      </c>
      <c r="J126" s="17">
        <f t="shared" si="96"/>
        <v>4.2</v>
      </c>
      <c r="K126" s="17">
        <f t="shared" si="97"/>
        <v>12.84</v>
      </c>
      <c r="L126" s="17">
        <f t="shared" si="98"/>
        <v>16.3</v>
      </c>
      <c r="M126" s="18">
        <f t="shared" si="99"/>
        <v>0.030954104046162396</v>
      </c>
      <c r="N126" s="17">
        <f t="shared" si="72"/>
        <v>0.15</v>
      </c>
      <c r="O126" s="17">
        <f>(N126*1000)/((3.1415/6)*1000*('[1]PM number'!C16*0.000000001)^3*EXP(4.5*1.8^2))</f>
        <v>19142197708754308</v>
      </c>
      <c r="P126" s="19">
        <v>87</v>
      </c>
      <c r="Q126" s="19">
        <v>3</v>
      </c>
      <c r="R126" s="20">
        <f t="shared" si="100"/>
        <v>15</v>
      </c>
      <c r="S126" s="20">
        <f t="shared" si="101"/>
        <v>12.4</v>
      </c>
      <c r="T126" s="20">
        <f t="shared" si="102"/>
        <v>1.65</v>
      </c>
      <c r="U126" s="20">
        <f t="shared" si="103"/>
        <v>2</v>
      </c>
      <c r="V126" s="20">
        <f t="shared" si="73"/>
        <v>0.333</v>
      </c>
      <c r="W126" s="17">
        <f>(V126*1000)/((3.1415/6)*1000*('[1]PM number'!$E$16*0.000000001)^3*EXP(4.5*1.8^2))</f>
        <v>5188749268530114</v>
      </c>
      <c r="X126">
        <f t="shared" si="104"/>
        <v>0.08356843222460682</v>
      </c>
      <c r="Y126" s="19">
        <v>46</v>
      </c>
      <c r="Z126" s="19">
        <v>5.5</v>
      </c>
      <c r="AA126" s="20">
        <f t="shared" si="105"/>
        <v>19</v>
      </c>
      <c r="AB126" s="20">
        <f t="shared" si="106"/>
        <v>8.6</v>
      </c>
      <c r="AC126" s="20">
        <f t="shared" si="107"/>
        <v>3.28</v>
      </c>
      <c r="AD126" s="20">
        <f t="shared" si="108"/>
        <v>4</v>
      </c>
      <c r="AE126" s="20">
        <f t="shared" si="74"/>
        <v>0.246</v>
      </c>
      <c r="AF126" s="17">
        <f>(AE126*1000)/((3.1415/6)*1000*('[1]PM number'!$D$16*0.000000001)^3*EXP(4.5*1.8^2))</f>
        <v>15434396376796850</v>
      </c>
      <c r="AG126" s="17">
        <f t="shared" si="109"/>
        <v>0.05758556991351312</v>
      </c>
      <c r="AH126" s="21">
        <f t="shared" si="68"/>
        <v>43.3</v>
      </c>
      <c r="AI126" s="21">
        <f t="shared" si="69"/>
        <v>388.5</v>
      </c>
      <c r="AJ126" s="21">
        <f t="shared" si="61"/>
        <v>206.5</v>
      </c>
      <c r="AK126" s="21">
        <f t="shared" si="70"/>
        <v>257.6</v>
      </c>
      <c r="AL126" s="21">
        <f t="shared" si="71"/>
        <v>11.1</v>
      </c>
      <c r="AM126" s="21">
        <f t="shared" si="62"/>
        <v>39765343354081270</v>
      </c>
      <c r="AN126" s="19">
        <v>1</v>
      </c>
      <c r="AO126" s="19">
        <v>80</v>
      </c>
      <c r="AP126" s="22">
        <f t="shared" si="110"/>
        <v>0.07885178316800003</v>
      </c>
      <c r="AQ126" s="22">
        <f t="shared" si="111"/>
        <v>11.8</v>
      </c>
      <c r="AR126" s="22">
        <f t="shared" si="112"/>
        <v>1.8</v>
      </c>
      <c r="AS126" s="22">
        <f t="shared" si="113"/>
        <v>2.2</v>
      </c>
      <c r="AT126" s="22">
        <f t="shared" si="75"/>
        <v>0.32</v>
      </c>
      <c r="AU126" s="23">
        <f t="shared" si="63"/>
        <v>283.9</v>
      </c>
      <c r="AV126" s="23">
        <f t="shared" si="64"/>
        <v>3.35</v>
      </c>
      <c r="AW126" s="23">
        <f t="shared" si="65"/>
        <v>0.51</v>
      </c>
      <c r="AX126" s="23">
        <f t="shared" si="66"/>
        <v>0.62</v>
      </c>
      <c r="AY126" s="23">
        <f t="shared" si="67"/>
        <v>90.8</v>
      </c>
      <c r="AZ126" s="23">
        <f>(AY126*1000)/((3.1415/6)*1000*('[1]PM number'!$F$16*0.000000001)^3*EXP(4.5*1.8^2))</f>
        <v>1.660381536386188E+18</v>
      </c>
    </row>
    <row r="127" spans="1:52" ht="25.5">
      <c r="A127" s="24" t="s">
        <v>367</v>
      </c>
      <c r="B127" s="25" t="s">
        <v>371</v>
      </c>
      <c r="C127" s="24" t="s">
        <v>372</v>
      </c>
      <c r="D127" s="24" t="s">
        <v>373</v>
      </c>
      <c r="E127" s="26">
        <v>1400</v>
      </c>
      <c r="F127" s="26">
        <v>1</v>
      </c>
      <c r="G127" s="27">
        <v>13</v>
      </c>
      <c r="H127" s="28">
        <v>5</v>
      </c>
      <c r="I127" s="17">
        <f t="shared" si="95"/>
        <v>9</v>
      </c>
      <c r="J127" s="17">
        <f t="shared" si="96"/>
        <v>4.1</v>
      </c>
      <c r="K127" s="17">
        <f t="shared" si="97"/>
        <v>13.83</v>
      </c>
      <c r="L127" s="17">
        <f t="shared" si="98"/>
        <v>17.5</v>
      </c>
      <c r="M127" s="18">
        <f t="shared" si="99"/>
        <v>0.02994102462904516</v>
      </c>
      <c r="N127" s="17">
        <f t="shared" si="72"/>
        <v>0.147</v>
      </c>
      <c r="O127" s="17">
        <f>(N127*1000)/((3.1415/6)*1000*('[1]PM number'!C16*0.000000001)^3*EXP(4.5*1.8^2))</f>
        <v>18759353754579220</v>
      </c>
      <c r="P127" s="19">
        <v>87</v>
      </c>
      <c r="Q127" s="19">
        <v>3</v>
      </c>
      <c r="R127" s="20">
        <f t="shared" si="100"/>
        <v>14.3</v>
      </c>
      <c r="S127" s="20">
        <f t="shared" si="101"/>
        <v>11.9</v>
      </c>
      <c r="T127" s="20">
        <f t="shared" si="102"/>
        <v>1.77</v>
      </c>
      <c r="U127" s="20">
        <f t="shared" si="103"/>
        <v>2.1</v>
      </c>
      <c r="V127" s="20">
        <f t="shared" si="73"/>
        <v>0.323</v>
      </c>
      <c r="W127" s="17">
        <f>(V127*1000)/((3.1415/6)*1000*('[1]PM number'!$E$16*0.000000001)^3*EXP(4.5*1.8^2))</f>
        <v>5032930972177858</v>
      </c>
      <c r="X127">
        <f t="shared" si="104"/>
        <v>0.07965022772552337</v>
      </c>
      <c r="Y127" s="19">
        <v>46</v>
      </c>
      <c r="Z127" s="19">
        <v>5.5</v>
      </c>
      <c r="AA127" s="20">
        <f t="shared" si="105"/>
        <v>18.4</v>
      </c>
      <c r="AB127" s="20">
        <f t="shared" si="106"/>
        <v>8.3</v>
      </c>
      <c r="AC127" s="20">
        <f t="shared" si="107"/>
        <v>3.53</v>
      </c>
      <c r="AD127" s="20">
        <f t="shared" si="108"/>
        <v>4.3</v>
      </c>
      <c r="AE127" s="20">
        <f t="shared" si="74"/>
        <v>0.238</v>
      </c>
      <c r="AF127" s="17">
        <f>(AE127*1000)/((3.1415/6)*1000*('[1]PM number'!$D$16*0.000000001)^3*EXP(4.5*1.8^2))</f>
        <v>14932464787307522</v>
      </c>
      <c r="AG127" s="17">
        <f t="shared" si="109"/>
        <v>0.055654191337053835</v>
      </c>
      <c r="AH127" s="21">
        <f t="shared" si="68"/>
        <v>41.7</v>
      </c>
      <c r="AI127" s="21">
        <f t="shared" si="69"/>
        <v>359.8</v>
      </c>
      <c r="AJ127" s="21">
        <f t="shared" si="61"/>
        <v>214.7</v>
      </c>
      <c r="AK127" s="21">
        <f t="shared" si="70"/>
        <v>266.7</v>
      </c>
      <c r="AL127" s="21">
        <f t="shared" si="71"/>
        <v>10.3</v>
      </c>
      <c r="AM127" s="21">
        <f t="shared" si="62"/>
        <v>38724749514064600</v>
      </c>
      <c r="AN127" s="19">
        <v>1</v>
      </c>
      <c r="AO127" s="19">
        <v>80</v>
      </c>
      <c r="AP127" s="22">
        <f t="shared" si="110"/>
        <v>0.07535619503259654</v>
      </c>
      <c r="AQ127" s="22">
        <f t="shared" si="111"/>
        <v>11.4</v>
      </c>
      <c r="AR127" s="22">
        <f t="shared" si="112"/>
        <v>1.94</v>
      </c>
      <c r="AS127" s="22">
        <f t="shared" si="113"/>
        <v>2.3</v>
      </c>
      <c r="AT127" s="22">
        <f t="shared" si="75"/>
        <v>0.31</v>
      </c>
      <c r="AU127" s="23">
        <f t="shared" si="63"/>
        <v>271.3</v>
      </c>
      <c r="AV127" s="23">
        <f t="shared" si="64"/>
        <v>3.09</v>
      </c>
      <c r="AW127" s="23">
        <f t="shared" si="65"/>
        <v>0.53</v>
      </c>
      <c r="AX127" s="23">
        <f t="shared" si="66"/>
        <v>0.62</v>
      </c>
      <c r="AY127" s="23">
        <f t="shared" si="67"/>
        <v>84.1</v>
      </c>
      <c r="AZ127" s="23">
        <f>(AY127*1000)/((3.1415/6)*1000*('[1]PM number'!$F$20*0.000000001)^3*EXP(4.5*1.8^2))</f>
        <v>2.7697008979953434E+18</v>
      </c>
    </row>
    <row r="128" spans="1:52" ht="38.25">
      <c r="A128" s="24" t="s">
        <v>374</v>
      </c>
      <c r="B128" s="25" t="s">
        <v>371</v>
      </c>
      <c r="C128" s="24" t="s">
        <v>375</v>
      </c>
      <c r="D128" s="24" t="s">
        <v>376</v>
      </c>
      <c r="E128" s="26">
        <v>1100</v>
      </c>
      <c r="F128" s="26">
        <v>1</v>
      </c>
      <c r="G128" s="27">
        <v>13</v>
      </c>
      <c r="H128" s="28">
        <v>5</v>
      </c>
      <c r="I128" s="17">
        <f t="shared" si="95"/>
        <v>8</v>
      </c>
      <c r="J128" s="17">
        <f t="shared" si="96"/>
        <v>3.5</v>
      </c>
      <c r="K128" s="17">
        <f t="shared" si="97"/>
        <v>17.95</v>
      </c>
      <c r="L128" s="17">
        <f t="shared" si="98"/>
        <v>22.9</v>
      </c>
      <c r="M128" s="18">
        <f t="shared" si="99"/>
        <v>0.026741197053701635</v>
      </c>
      <c r="N128" s="17">
        <f t="shared" si="72"/>
        <v>0.138</v>
      </c>
      <c r="O128" s="17">
        <f>(N128*1000)/((3.1415/6)*1000*('[1]PM number'!C16*0.000000001)^3*EXP(4.5*1.8^2))</f>
        <v>17610821892053964</v>
      </c>
      <c r="P128" s="19">
        <v>87</v>
      </c>
      <c r="Q128" s="19">
        <v>3</v>
      </c>
      <c r="R128" s="20">
        <f t="shared" si="100"/>
        <v>12.3</v>
      </c>
      <c r="S128" s="20">
        <f t="shared" si="101"/>
        <v>10.4</v>
      </c>
      <c r="T128" s="20">
        <f t="shared" si="102"/>
        <v>2.3</v>
      </c>
      <c r="U128" s="20">
        <f t="shared" si="103"/>
        <v>2.8</v>
      </c>
      <c r="V128" s="20">
        <f t="shared" si="73"/>
        <v>0.288</v>
      </c>
      <c r="W128" s="17">
        <f>(V128*1000)/((3.1415/6)*1000*('[1]PM number'!$E$16*0.000000001)^3*EXP(4.5*1.8^2))</f>
        <v>4487566934944963.5</v>
      </c>
      <c r="X128">
        <f t="shared" si="104"/>
        <v>0.0684896668908899</v>
      </c>
      <c r="Y128" s="19">
        <v>46</v>
      </c>
      <c r="Z128" s="19">
        <v>5.5</v>
      </c>
      <c r="AA128" s="20">
        <f t="shared" si="105"/>
        <v>16.3</v>
      </c>
      <c r="AB128" s="20">
        <f t="shared" si="106"/>
        <v>7.2</v>
      </c>
      <c r="AC128" s="20">
        <f t="shared" si="107"/>
        <v>4.58</v>
      </c>
      <c r="AD128" s="20">
        <f t="shared" si="108"/>
        <v>5.6</v>
      </c>
      <c r="AE128" s="20">
        <f t="shared" si="74"/>
        <v>0.213</v>
      </c>
      <c r="AF128" s="17">
        <f>(AE128*1000)/((3.1415/6)*1000*('[1]PM number'!$D$16*0.000000001)^3*EXP(4.5*1.8^2))</f>
        <v>13363928570153370</v>
      </c>
      <c r="AG128" s="17">
        <f t="shared" si="109"/>
        <v>0.04949607937979835</v>
      </c>
      <c r="AH128" s="21">
        <f t="shared" si="68"/>
        <v>36.6</v>
      </c>
      <c r="AI128" s="21">
        <f t="shared" si="69"/>
        <v>273.3</v>
      </c>
      <c r="AJ128" s="21">
        <f t="shared" si="61"/>
        <v>246.5</v>
      </c>
      <c r="AK128" s="21">
        <f t="shared" si="70"/>
        <v>308.9</v>
      </c>
      <c r="AL128" s="21">
        <f t="shared" si="71"/>
        <v>8.1</v>
      </c>
      <c r="AM128" s="21">
        <f t="shared" si="62"/>
        <v>35462317397152296</v>
      </c>
      <c r="AN128" s="19">
        <v>1</v>
      </c>
      <c r="AO128" s="19">
        <v>80</v>
      </c>
      <c r="AP128" s="22">
        <f t="shared" si="110"/>
        <v>0.06533857618378754</v>
      </c>
      <c r="AQ128" s="22">
        <f t="shared" si="111"/>
        <v>9.9</v>
      </c>
      <c r="AR128" s="22">
        <f t="shared" si="112"/>
        <v>2.52</v>
      </c>
      <c r="AS128" s="22">
        <f t="shared" si="113"/>
        <v>3.1</v>
      </c>
      <c r="AT128" s="22">
        <f t="shared" si="75"/>
        <v>0.277</v>
      </c>
      <c r="AU128" s="23">
        <f t="shared" si="63"/>
        <v>235.2</v>
      </c>
      <c r="AV128" s="23">
        <f t="shared" si="64"/>
        <v>2.33</v>
      </c>
      <c r="AW128" s="23">
        <f t="shared" si="65"/>
        <v>0.59</v>
      </c>
      <c r="AX128" s="23">
        <f t="shared" si="66"/>
        <v>0.73</v>
      </c>
      <c r="AY128" s="23">
        <f t="shared" si="67"/>
        <v>65.2</v>
      </c>
      <c r="AZ128" s="23">
        <f>(AY128*1000)/((3.1415/6)*1000*('[1]PM number'!$F$25*0.000000001)^3*EXP(4.5*1.8^2))</f>
        <v>9.551478111741165E+17</v>
      </c>
    </row>
    <row r="129" spans="1:52" ht="25.5">
      <c r="A129" s="24" t="s">
        <v>377</v>
      </c>
      <c r="B129" s="25" t="s">
        <v>347</v>
      </c>
      <c r="C129" s="24" t="s">
        <v>378</v>
      </c>
      <c r="D129" s="24" t="s">
        <v>379</v>
      </c>
      <c r="E129" s="26">
        <v>130</v>
      </c>
      <c r="F129" s="26">
        <v>1</v>
      </c>
      <c r="G129" s="27">
        <v>13</v>
      </c>
      <c r="H129" s="28">
        <v>5</v>
      </c>
      <c r="I129" s="17">
        <f t="shared" si="95"/>
        <v>2.5</v>
      </c>
      <c r="J129" s="17">
        <f t="shared" si="96"/>
        <v>1.1</v>
      </c>
      <c r="K129" s="17">
        <f t="shared" si="97"/>
        <v>180.18</v>
      </c>
      <c r="L129" s="17">
        <f t="shared" si="98"/>
        <v>245.4</v>
      </c>
      <c r="M129" s="18">
        <f t="shared" si="99"/>
        <v>0.008332138640088547</v>
      </c>
      <c r="N129" s="17">
        <f t="shared" si="72"/>
        <v>0.11</v>
      </c>
      <c r="O129" s="17">
        <f>(N129*1000)/((3.1415/6)*1000*('[1]PM number'!C16*0.000000001)^3*EXP(4.5*1.8^2))</f>
        <v>14037611653086492</v>
      </c>
      <c r="P129" s="19">
        <v>87</v>
      </c>
      <c r="Q129" s="19">
        <v>3</v>
      </c>
      <c r="R129" s="20">
        <f t="shared" si="100"/>
        <v>3.7</v>
      </c>
      <c r="S129" s="20">
        <f t="shared" si="101"/>
        <v>3.1</v>
      </c>
      <c r="T129" s="20">
        <f t="shared" si="102"/>
        <v>23.12</v>
      </c>
      <c r="U129" s="20">
        <f t="shared" si="103"/>
        <v>29.7</v>
      </c>
      <c r="V129" s="20">
        <f t="shared" si="73"/>
        <v>0.132</v>
      </c>
      <c r="W129" s="17">
        <f>(V129*1000)/((3.1415/6)*1000*('[1]PM number'!$E$16*0.000000001)^3*EXP(4.5*1.8^2))</f>
        <v>2056801511849774.8</v>
      </c>
      <c r="X129">
        <f t="shared" si="104"/>
        <v>0.020621352088538082</v>
      </c>
      <c r="Y129" s="19">
        <v>46</v>
      </c>
      <c r="Z129" s="19">
        <v>5.5</v>
      </c>
      <c r="AA129" s="20">
        <f t="shared" si="105"/>
        <v>5.1</v>
      </c>
      <c r="AB129" s="20">
        <f t="shared" si="106"/>
        <v>2.2</v>
      </c>
      <c r="AC129" s="20">
        <f t="shared" si="107"/>
        <v>46.02</v>
      </c>
      <c r="AD129" s="20">
        <f t="shared" si="108"/>
        <v>60.4</v>
      </c>
      <c r="AE129" s="20">
        <f t="shared" si="74"/>
        <v>0.12</v>
      </c>
      <c r="AF129" s="17">
        <f>(AE129*1000)/((3.1415/6)*1000*('[1]PM number'!$D$16*0.000000001)^3*EXP(4.5*1.8^2))</f>
        <v>7528973842339927</v>
      </c>
      <c r="AG129" s="17">
        <f t="shared" si="109"/>
        <v>0.015354499798965882</v>
      </c>
      <c r="AH129" s="21">
        <f t="shared" si="68"/>
        <v>11.3</v>
      </c>
      <c r="AI129" s="21">
        <f t="shared" si="69"/>
        <v>25.4</v>
      </c>
      <c r="AJ129" s="21">
        <f t="shared" si="61"/>
        <v>770.7</v>
      </c>
      <c r="AK129" s="21">
        <f t="shared" si="70"/>
        <v>1031.4</v>
      </c>
      <c r="AL129" s="21">
        <f t="shared" si="71"/>
        <v>1.4</v>
      </c>
      <c r="AM129" s="21">
        <f t="shared" si="62"/>
        <v>23623387007276190</v>
      </c>
      <c r="AN129" s="19">
        <v>1</v>
      </c>
      <c r="AO129" s="19">
        <v>80</v>
      </c>
      <c r="AP129" s="22">
        <f t="shared" si="110"/>
        <v>0.01991490699281613</v>
      </c>
      <c r="AQ129" s="22">
        <f t="shared" si="111"/>
        <v>3</v>
      </c>
      <c r="AR129" s="22">
        <f t="shared" si="112"/>
        <v>25.31</v>
      </c>
      <c r="AS129" s="22">
        <f t="shared" si="113"/>
        <v>32.7</v>
      </c>
      <c r="AT129" s="22">
        <f t="shared" si="75"/>
        <v>0.13</v>
      </c>
      <c r="AU129" s="23">
        <f t="shared" si="63"/>
        <v>71.7</v>
      </c>
      <c r="AV129" s="23">
        <f t="shared" si="64"/>
        <v>0.22</v>
      </c>
      <c r="AW129" s="23">
        <f t="shared" si="65"/>
        <v>1.81</v>
      </c>
      <c r="AX129" s="23">
        <f t="shared" si="66"/>
        <v>2.34</v>
      </c>
      <c r="AY129" s="23">
        <f t="shared" si="67"/>
        <v>9.3</v>
      </c>
      <c r="AZ129" s="23">
        <f>(AY129*1000)/((3.1415/6)*1000*('[1]PM number'!$F$25*0.000000001)^3*EXP(4.5*1.8^2))</f>
        <v>1.3624040864906877E+17</v>
      </c>
    </row>
    <row r="130" spans="1:52" ht="25.5">
      <c r="A130" s="48" t="s">
        <v>380</v>
      </c>
      <c r="B130" s="49" t="s">
        <v>381</v>
      </c>
      <c r="C130" s="50" t="s">
        <v>382</v>
      </c>
      <c r="D130" s="51" t="s">
        <v>383</v>
      </c>
      <c r="E130" s="26">
        <v>210</v>
      </c>
      <c r="F130" s="26">
        <v>1</v>
      </c>
      <c r="G130" s="27">
        <v>20</v>
      </c>
      <c r="H130" s="28">
        <v>5</v>
      </c>
      <c r="I130" s="17">
        <f t="shared" si="95"/>
        <v>0.8</v>
      </c>
      <c r="J130" s="17">
        <v>1</v>
      </c>
      <c r="K130" s="17">
        <f>ROUND(80*((G130/100)*E130)^(-0.35),2)</f>
        <v>21.62</v>
      </c>
      <c r="L130" s="17">
        <v>1000</v>
      </c>
      <c r="M130" s="18">
        <f>1.9*10^(-12)*((G130/100)*E130)^4-1*10^(-9)*((G130/100)*E130)^3+2.6*10^(-7)*((G130/100)*E130)^2+4*10^(-5)*((G130/100)*E130)+0.0006</f>
        <v>0.0026704642224</v>
      </c>
      <c r="N130" s="17">
        <v>0.05</v>
      </c>
      <c r="O130" s="17">
        <f>(N130*1000)/((3.1415/6)*1000*('[1]PM number'!C25*0.000000001)^3*EXP(4.5*1.8^2))</f>
        <v>6585446592391031</v>
      </c>
      <c r="P130" s="19">
        <v>95</v>
      </c>
      <c r="Q130" s="19">
        <v>4</v>
      </c>
      <c r="R130" s="20">
        <f t="shared" si="100"/>
        <v>3.4</v>
      </c>
      <c r="S130" s="20">
        <v>1</v>
      </c>
      <c r="T130" s="20">
        <f>ROUND(80*((P130/100)*E130)^(-0.35),2)</f>
        <v>12.53</v>
      </c>
      <c r="U130" s="20">
        <v>1000</v>
      </c>
      <c r="V130" s="20">
        <v>0.1</v>
      </c>
      <c r="W130" s="17">
        <f>(V130*1000)/((3.1415/6)*1000*('[1]PM number'!$E$25*0.000000001)^3*EXP(4.5*1.8^2))</f>
        <v>1358580890975303.5</v>
      </c>
      <c r="X130" s="31">
        <f>1.9*10^(-12)*((P130/100)*E130)^4-1*10^(-9)*((P130/100)*E130)^3+2.6*10^(-7)*((P130/100)*E130)^2+4*10^(-5)*((P130/100)*E130)+0.0006</f>
        <v>0.013997628935118751</v>
      </c>
      <c r="Y130" s="19">
        <v>60</v>
      </c>
      <c r="Z130" s="19">
        <v>5.5</v>
      </c>
      <c r="AA130" s="20">
        <f t="shared" si="105"/>
        <v>2.7</v>
      </c>
      <c r="AB130" s="20">
        <v>4</v>
      </c>
      <c r="AC130" s="20">
        <f>ROUND(80*((Y130/100)*E130)^(-0.35),2)</f>
        <v>14.72</v>
      </c>
      <c r="AD130" s="20">
        <v>1000</v>
      </c>
      <c r="AE130" s="20">
        <v>0.04</v>
      </c>
      <c r="AF130" s="17">
        <f>(AE130*1000)/((3.1415/6)*1000*('[1]PM number'!$D$25*0.000000001)^3*EXP(4.5*1.8^2))</f>
        <v>1428604708482059</v>
      </c>
      <c r="AG130" s="17">
        <f>1.9*10^(-12)*((Y130/100)*E130)^4-1*10^(-9)*((Y130/100)*E130)^3+2.6*10^(-7)*((Y130/100)*E130)^2+4*10^(-5)*((Y130/100)*E130)+0.0006</f>
        <v>0.0082462740144</v>
      </c>
      <c r="AH130" s="21">
        <f t="shared" si="68"/>
        <v>6.9</v>
      </c>
      <c r="AI130" s="21">
        <f t="shared" si="69"/>
        <v>15</v>
      </c>
      <c r="AJ130" s="21">
        <f aca="true" t="shared" si="114" ref="AJ130:AJ144">ROUND((K130*I130+T130*R130+AC130*AA130)*F130,1)</f>
        <v>99.6</v>
      </c>
      <c r="AK130" s="21">
        <f t="shared" si="70"/>
        <v>6900</v>
      </c>
      <c r="AL130" s="21">
        <f t="shared" si="71"/>
        <v>0.5</v>
      </c>
      <c r="AM130" s="21">
        <f aca="true" t="shared" si="115" ref="AM130:AM144">O130+W130+AF130</f>
        <v>9372632191848392</v>
      </c>
      <c r="AN130" s="19">
        <v>1</v>
      </c>
      <c r="AO130" s="19">
        <v>90</v>
      </c>
      <c r="AP130" s="22">
        <f aca="true" t="shared" si="116" ref="AP130:AP136">1.9*10^(-12)*((AO130/100)*E130)^4-1*10^(-9)*((AO130/100)*E130)^3+2.6*10^(-7)*((AO130/100)*E130)^2+4*10^(-5)*((AO130/100)*E130)+0.0006</f>
        <v>0.0131205716979</v>
      </c>
      <c r="AQ130" s="17">
        <v>2</v>
      </c>
      <c r="AR130" s="22">
        <f>ROUND(80*((AO130/100)*E130)^(-0.35),2)</f>
        <v>12.77</v>
      </c>
      <c r="AS130" s="17">
        <v>1000</v>
      </c>
      <c r="AT130" s="17">
        <v>0.07</v>
      </c>
      <c r="AU130" s="23">
        <f aca="true" t="shared" si="117" ref="AU130:AU144">ROUND(3600*AP130*AN130*F130,1)</f>
        <v>47.2</v>
      </c>
      <c r="AV130" s="23">
        <f aca="true" t="shared" si="118" ref="AV130:AV144">ROUND(3600*AP130*AN130*AQ130*F130/1000,2)</f>
        <v>0.09</v>
      </c>
      <c r="AW130" s="23">
        <f aca="true" t="shared" si="119" ref="AW130:AW144">ROUND(3600*AP130*AN130*AR130*F130/1000,2)</f>
        <v>0.6</v>
      </c>
      <c r="AX130" s="23">
        <f aca="true" t="shared" si="120" ref="AX130:AX144">ROUND(3600*AP130*AN130*AS130*F130/1000,2)</f>
        <v>47.23</v>
      </c>
      <c r="AY130" s="23">
        <f aca="true" t="shared" si="121" ref="AY130:AY144">ROUND((3600*AP130*AN130*AT130*F130/1000)*1000,1)</f>
        <v>3.3</v>
      </c>
      <c r="AZ130" s="23">
        <f>(AY130)/((3.1415/6)*('[1]PM number'!F20*0.000000001)^3*EXP(4.5*1.8^2))</f>
        <v>1.086802968297816E+17</v>
      </c>
    </row>
    <row r="131" spans="1:52" ht="38.25">
      <c r="A131" s="52" t="s">
        <v>384</v>
      </c>
      <c r="B131" s="53" t="s">
        <v>385</v>
      </c>
      <c r="C131" s="50" t="s">
        <v>386</v>
      </c>
      <c r="D131" s="51" t="s">
        <v>387</v>
      </c>
      <c r="E131" s="26">
        <v>550</v>
      </c>
      <c r="F131" s="26">
        <v>1</v>
      </c>
      <c r="G131" s="27">
        <v>20</v>
      </c>
      <c r="H131" s="28">
        <v>5</v>
      </c>
      <c r="I131" s="17">
        <f t="shared" si="95"/>
        <v>2.1</v>
      </c>
      <c r="J131" s="22">
        <v>1</v>
      </c>
      <c r="K131" s="17">
        <f>ROUND(80*((G131/100)*E131)^(-0.35),2)</f>
        <v>15.44</v>
      </c>
      <c r="L131" s="17">
        <v>1000</v>
      </c>
      <c r="M131" s="18">
        <f>1.9*10^(-12)*((G131/100)*E131)^4-1*10^(-9)*((G131/100)*E131)^3+2.6*10^(-7)*((G131/100)*E131)^2+4*10^(-5)*((G131/100)*E131)+0.0006</f>
        <v>0.007093179</v>
      </c>
      <c r="N131" s="17">
        <v>0.05</v>
      </c>
      <c r="O131" s="17">
        <f>(N131*1000)/((3.1415/6)*1000*('[1]PM number'!C25*0.000000001)^3*EXP(4.5*1.8^2))</f>
        <v>6585446592391031</v>
      </c>
      <c r="P131" s="19">
        <v>95</v>
      </c>
      <c r="Q131" s="19">
        <v>4</v>
      </c>
      <c r="R131" s="20">
        <f t="shared" si="100"/>
        <v>21.9</v>
      </c>
      <c r="S131" s="20">
        <v>1</v>
      </c>
      <c r="T131" s="20">
        <f>ROUND(80*((P131/100)*E131)^(-0.35),2)</f>
        <v>8.95</v>
      </c>
      <c r="U131" s="20">
        <v>1000</v>
      </c>
      <c r="V131" s="20">
        <v>0.1</v>
      </c>
      <c r="W131" s="17">
        <f>(V131*1000)/((3.1415/6)*1000*('[1]PM number'!$E$25*0.000000001)^3*EXP(4.5*1.8^2))</f>
        <v>1358580890975303.5</v>
      </c>
      <c r="X131" s="31">
        <f>1.9*10^(-12)*((P131/100)*E131)^4-1*10^(-9)*((P131/100)*E131)^3+2.6*10^(-7)*((P131/100)*E131)^2+4*10^(-5)*((P131/100)*E131)+0.0006</f>
        <v>0.09144744319921877</v>
      </c>
      <c r="Y131" s="19">
        <v>60</v>
      </c>
      <c r="Z131" s="19">
        <v>5.5</v>
      </c>
      <c r="AA131" s="20">
        <f t="shared" si="105"/>
        <v>9.5</v>
      </c>
      <c r="AB131" s="20">
        <v>4</v>
      </c>
      <c r="AC131" s="20">
        <f>ROUND(80*((Y131/100)*E131)^(-0.35),2)</f>
        <v>10.51</v>
      </c>
      <c r="AD131" s="20">
        <v>1000</v>
      </c>
      <c r="AE131" s="20">
        <v>0.04</v>
      </c>
      <c r="AF131" s="17">
        <f>(AE131*1000)/((3.1415/6)*1000*('[1]PM number'!$D$25*0.000000001)^3*EXP(4.5*1.8^2))</f>
        <v>1428604708482059</v>
      </c>
      <c r="AG131" s="17">
        <f>1.9*10^(-12)*((Y131/100)*E131)^4-1*10^(-9)*((Y131/100)*E131)^3+2.6*10^(-7)*((Y131/100)*E131)^2+4*10^(-5)*((Y131/100)*E131)+0.0006</f>
        <v>0.028709498999999996</v>
      </c>
      <c r="AH131" s="21">
        <f t="shared" si="68"/>
        <v>33.5</v>
      </c>
      <c r="AI131" s="21">
        <f t="shared" si="69"/>
        <v>62</v>
      </c>
      <c r="AJ131" s="21">
        <f t="shared" si="114"/>
        <v>328.3</v>
      </c>
      <c r="AK131" s="21">
        <f t="shared" si="70"/>
        <v>33500</v>
      </c>
      <c r="AL131" s="21">
        <f t="shared" si="71"/>
        <v>2.7</v>
      </c>
      <c r="AM131" s="21">
        <f t="shared" si="115"/>
        <v>9372632191848392</v>
      </c>
      <c r="AN131" s="19">
        <v>1</v>
      </c>
      <c r="AO131" s="19">
        <v>90</v>
      </c>
      <c r="AP131" s="22">
        <f t="shared" si="116"/>
        <v>0.0768899011875</v>
      </c>
      <c r="AQ131" s="22">
        <v>2</v>
      </c>
      <c r="AR131" s="22">
        <f>ROUND(80*((AO131/100)*E131)^(-0.35),2)</f>
        <v>9.12</v>
      </c>
      <c r="AS131" s="22">
        <v>1000</v>
      </c>
      <c r="AT131" s="22">
        <v>0.07</v>
      </c>
      <c r="AU131" s="23">
        <f t="shared" si="117"/>
        <v>276.8</v>
      </c>
      <c r="AV131" s="23">
        <f t="shared" si="118"/>
        <v>0.55</v>
      </c>
      <c r="AW131" s="23">
        <f t="shared" si="119"/>
        <v>2.52</v>
      </c>
      <c r="AX131" s="23">
        <f t="shared" si="120"/>
        <v>276.8</v>
      </c>
      <c r="AY131" s="23">
        <f t="shared" si="121"/>
        <v>19.4</v>
      </c>
      <c r="AZ131" s="23">
        <f>(AY131*1000)/((3.1415/6)*1000*('[1]PM number'!F20*0.000000001)^3*EXP(4.5*1.8^2))</f>
        <v>6.389084116659889E+17</v>
      </c>
    </row>
    <row r="132" spans="1:52" ht="25.5">
      <c r="A132" s="50" t="s">
        <v>388</v>
      </c>
      <c r="B132" s="53" t="s">
        <v>389</v>
      </c>
      <c r="C132" s="50" t="s">
        <v>390</v>
      </c>
      <c r="D132" s="51" t="s">
        <v>391</v>
      </c>
      <c r="E132" s="26">
        <v>190</v>
      </c>
      <c r="F132" s="26">
        <v>1</v>
      </c>
      <c r="G132" s="27">
        <v>20</v>
      </c>
      <c r="H132" s="28">
        <v>5</v>
      </c>
      <c r="I132" s="34">
        <f>ROUND(M132*(H132*60),1)</f>
        <v>0.9</v>
      </c>
      <c r="J132" s="34">
        <v>1</v>
      </c>
      <c r="K132" s="34">
        <f>ROUND(-0.000057*(G132^3)+0.013255*(G132^2)-0.989405*G132+36.807322,2)</f>
        <v>21.87</v>
      </c>
      <c r="L132" s="34">
        <v>1000</v>
      </c>
      <c r="M132" s="35">
        <f>-0.000002*(G132^2)+0.000396*G132-0.00428</f>
        <v>0.0028399999999999996</v>
      </c>
      <c r="N132" s="34">
        <f>ROUND((0.1079936167*(EXP(0.0033700829*G132))),2)</f>
        <v>0.12</v>
      </c>
      <c r="O132" s="34">
        <f>(N132*1000)/((3.1415/6)*1000*('[1]PM number'!C25*0.000000001)^3*EXP(4.5*1.8^2))</f>
        <v>15805071821738474</v>
      </c>
      <c r="P132" s="19">
        <v>95</v>
      </c>
      <c r="Q132" s="19">
        <v>4</v>
      </c>
      <c r="R132" s="20">
        <f>ROUND(X132*(Q132*60),1)</f>
        <v>3.7</v>
      </c>
      <c r="S132" s="20">
        <v>1</v>
      </c>
      <c r="T132" s="20">
        <f>ROUND(-0.000057*(P132^3)+0.013255*(P132^2)-0.989405*P132+36.807322,2)</f>
        <v>13.57</v>
      </c>
      <c r="U132" s="20">
        <v>1000</v>
      </c>
      <c r="V132" s="20">
        <f>ROUND((0.1079936167*(EXP(0.0033700829*P132))),2)</f>
        <v>0.15</v>
      </c>
      <c r="W132" s="34">
        <f>(V132*1000)/((3.1415/6)*1000*('[1]PM number'!$E$25*0.000000001)^3*EXP(4.5*1.8^2))</f>
        <v>2037871336462955.5</v>
      </c>
      <c r="X132">
        <f>-0.000002*(P132^2)+0.000396*P132-0.00428</f>
        <v>0.015290000000000002</v>
      </c>
      <c r="Y132" s="19">
        <v>60</v>
      </c>
      <c r="Z132" s="19">
        <v>5.5</v>
      </c>
      <c r="AA132" s="20">
        <f>ROUND((AG132*(5.5*60)),2)</f>
        <v>4.05</v>
      </c>
      <c r="AB132" s="20">
        <v>4</v>
      </c>
      <c r="AC132" s="20">
        <f>ROUND(-0.000057*(Y132^3)+0.013255*(Y132^2)-0.989405*Y132+36.807322,2)</f>
        <v>12.85</v>
      </c>
      <c r="AD132" s="20">
        <v>1000</v>
      </c>
      <c r="AE132" s="20">
        <f>ROUND((0.1079936167*(EXP(0.0033700829*Y132))),3)</f>
        <v>0.132</v>
      </c>
      <c r="AF132" s="34">
        <f>(AE132*1000)/((3.1415/6)*1000*('[1]PM number'!$D$25*0.000000001)^3*EXP(4.5*1.8^2))</f>
        <v>4714395537990795</v>
      </c>
      <c r="AG132" s="34">
        <f>-0.000002*(Y132^2)+0.000396*Y132-0.00428</f>
        <v>0.01228</v>
      </c>
      <c r="AH132" s="21">
        <f t="shared" si="68"/>
        <v>8.7</v>
      </c>
      <c r="AI132" s="21">
        <f t="shared" si="69"/>
        <v>20.8</v>
      </c>
      <c r="AJ132" s="21">
        <f t="shared" si="114"/>
        <v>121.9</v>
      </c>
      <c r="AK132" s="21">
        <f t="shared" si="70"/>
        <v>8650</v>
      </c>
      <c r="AL132" s="21">
        <f t="shared" si="71"/>
        <v>1.2</v>
      </c>
      <c r="AM132" s="21">
        <f t="shared" si="115"/>
        <v>22557338696192224</v>
      </c>
      <c r="AN132" s="54">
        <v>1</v>
      </c>
      <c r="AO132" s="54">
        <v>90</v>
      </c>
      <c r="AP132" s="22">
        <f t="shared" si="116"/>
        <v>0.0116670175539</v>
      </c>
      <c r="AQ132" s="34">
        <v>2</v>
      </c>
      <c r="AR132" s="34">
        <f>ROUND(-0.000057*(AO132^3)+0.013255*(AO132^2)-0.989405*AO132+36.807322,2)</f>
        <v>13.57</v>
      </c>
      <c r="AS132" s="34">
        <v>1000</v>
      </c>
      <c r="AT132" s="34">
        <f>ROUND((0.1079936167*(EXP(0.0033700829*AO132))),3)</f>
        <v>0.146</v>
      </c>
      <c r="AU132" s="23">
        <f t="shared" si="117"/>
        <v>42</v>
      </c>
      <c r="AV132" s="23">
        <f t="shared" si="118"/>
        <v>0.08</v>
      </c>
      <c r="AW132" s="23">
        <f t="shared" si="119"/>
        <v>0.57</v>
      </c>
      <c r="AX132" s="23">
        <f t="shared" si="120"/>
        <v>42</v>
      </c>
      <c r="AY132" s="23">
        <f t="shared" si="121"/>
        <v>6.1</v>
      </c>
      <c r="AZ132" s="23">
        <f>(AY132*1000)/((3.1415/6)*1000*('[1]PM number'!$F$16*0.000000001)^3*EXP(4.5*1.8^2))</f>
        <v>1.1154545563827915E+17</v>
      </c>
    </row>
    <row r="133" spans="1:52" ht="25.5">
      <c r="A133" s="50" t="s">
        <v>388</v>
      </c>
      <c r="B133" s="53" t="s">
        <v>392</v>
      </c>
      <c r="C133" s="50" t="s">
        <v>393</v>
      </c>
      <c r="D133" s="51" t="s">
        <v>391</v>
      </c>
      <c r="E133" s="26">
        <v>190</v>
      </c>
      <c r="F133" s="26">
        <v>1</v>
      </c>
      <c r="G133" s="27">
        <v>20</v>
      </c>
      <c r="H133" s="28">
        <v>5</v>
      </c>
      <c r="I133" s="34">
        <f>ROUND(M133*(H133*60),1)</f>
        <v>0.9</v>
      </c>
      <c r="J133" s="34">
        <v>1</v>
      </c>
      <c r="K133" s="34">
        <f>ROUND(-0.000057*(G133^3)+0.013255*(G133^2)-0.989405*G133+36.807322,2)</f>
        <v>21.87</v>
      </c>
      <c r="L133" s="34">
        <v>1000</v>
      </c>
      <c r="M133" s="35">
        <f>-0.000002*(G133^2)+0.000396*G133-0.00428</f>
        <v>0.0028399999999999996</v>
      </c>
      <c r="N133" s="34">
        <f>ROUND((0.1079936167*(EXP(0.0033700829*G133))),2)</f>
        <v>0.12</v>
      </c>
      <c r="O133" s="34">
        <f>(N133*1000)/((3.1415/6)*1000*('[1]PM number'!C25*0.000000001)^3*EXP(4.5*1.8^2))</f>
        <v>15805071821738474</v>
      </c>
      <c r="P133" s="19">
        <v>95</v>
      </c>
      <c r="Q133" s="19">
        <v>4</v>
      </c>
      <c r="R133" s="20">
        <f>ROUND(X133*(Q133*60),1)</f>
        <v>3.7</v>
      </c>
      <c r="S133" s="20">
        <v>1</v>
      </c>
      <c r="T133" s="20">
        <f>ROUND(-0.000057*(P133^3)+0.013255*(P133^2)-0.989405*P133+36.807322,2)</f>
        <v>13.57</v>
      </c>
      <c r="U133" s="20">
        <v>1000</v>
      </c>
      <c r="V133" s="20">
        <f>ROUND((0.1079936167*(EXP(0.0033700829*P133))),2)</f>
        <v>0.15</v>
      </c>
      <c r="W133" s="34">
        <f>(V133*1000)/((3.1415/6)*1000*('[1]PM number'!$E$25*0.000000001)^3*EXP(4.5*1.8^2))</f>
        <v>2037871336462955.5</v>
      </c>
      <c r="X133">
        <f>-0.000002*(P133^2)+0.000396*P133-0.00428</f>
        <v>0.015290000000000002</v>
      </c>
      <c r="Y133" s="19">
        <v>60</v>
      </c>
      <c r="Z133" s="19">
        <v>5.5</v>
      </c>
      <c r="AA133" s="20">
        <f>ROUND((AG133*(5.5*60)),2)</f>
        <v>4.05</v>
      </c>
      <c r="AB133" s="20">
        <v>4</v>
      </c>
      <c r="AC133" s="20">
        <f>ROUND(-0.000057*(Y133^3)+0.013255*(Y133^2)-0.989405*Y133+36.807322,2)</f>
        <v>12.85</v>
      </c>
      <c r="AD133" s="20">
        <v>1000</v>
      </c>
      <c r="AE133" s="20">
        <f>ROUND((0.1079936167*(EXP(0.0033700829*Y133))),3)</f>
        <v>0.132</v>
      </c>
      <c r="AF133" s="34">
        <f>(AE133*1000)/((3.1415/6)*1000*('[1]PM number'!$D$25*0.000000001)^3*EXP(4.5*1.8^2))</f>
        <v>4714395537990795</v>
      </c>
      <c r="AG133" s="34">
        <f>-0.000002*(Y133^2)+0.000396*Y133-0.00428</f>
        <v>0.01228</v>
      </c>
      <c r="AH133" s="21">
        <f t="shared" si="68"/>
        <v>8.7</v>
      </c>
      <c r="AI133" s="21">
        <f t="shared" si="69"/>
        <v>20.8</v>
      </c>
      <c r="AJ133" s="21">
        <f t="shared" si="114"/>
        <v>121.9</v>
      </c>
      <c r="AK133" s="21">
        <f t="shared" si="70"/>
        <v>8650</v>
      </c>
      <c r="AL133" s="21">
        <f t="shared" si="71"/>
        <v>1.2</v>
      </c>
      <c r="AM133" s="21">
        <f t="shared" si="115"/>
        <v>22557338696192224</v>
      </c>
      <c r="AN133" s="54">
        <v>1</v>
      </c>
      <c r="AO133" s="54">
        <v>90</v>
      </c>
      <c r="AP133" s="22">
        <f t="shared" si="116"/>
        <v>0.0116670175539</v>
      </c>
      <c r="AQ133" s="34">
        <v>2</v>
      </c>
      <c r="AR133" s="34">
        <f>ROUND(-0.000057*(AO133^3)+0.013255*(AO133^2)-0.989405*AO133+36.807322,2)</f>
        <v>13.57</v>
      </c>
      <c r="AS133" s="34">
        <v>1000</v>
      </c>
      <c r="AT133" s="34">
        <f>ROUND((0.1079936167*(EXP(0.0033700829*AO133))),3)</f>
        <v>0.146</v>
      </c>
      <c r="AU133" s="23">
        <f t="shared" si="117"/>
        <v>42</v>
      </c>
      <c r="AV133" s="23">
        <f t="shared" si="118"/>
        <v>0.08</v>
      </c>
      <c r="AW133" s="23">
        <f t="shared" si="119"/>
        <v>0.57</v>
      </c>
      <c r="AX133" s="23">
        <f t="shared" si="120"/>
        <v>42</v>
      </c>
      <c r="AY133" s="23">
        <f t="shared" si="121"/>
        <v>6.1</v>
      </c>
      <c r="AZ133" s="23">
        <f>(AY133*1000)/((3.1415/6)*1000*('[1]PM number'!$F$16*0.000000001)^3*EXP(4.5*1.8^2))</f>
        <v>1.1154545563827915E+17</v>
      </c>
    </row>
    <row r="134" spans="1:52" ht="25.5">
      <c r="A134" s="50" t="s">
        <v>388</v>
      </c>
      <c r="B134" s="53" t="s">
        <v>394</v>
      </c>
      <c r="C134" s="50" t="s">
        <v>395</v>
      </c>
      <c r="D134" s="51" t="s">
        <v>391</v>
      </c>
      <c r="E134" s="26">
        <v>190</v>
      </c>
      <c r="F134" s="26">
        <v>1</v>
      </c>
      <c r="G134" s="27">
        <v>20</v>
      </c>
      <c r="H134" s="28">
        <v>5</v>
      </c>
      <c r="I134" s="34">
        <f>ROUND(M134*(H134*60),1)</f>
        <v>0.9</v>
      </c>
      <c r="J134" s="34">
        <v>1</v>
      </c>
      <c r="K134" s="34">
        <f>ROUND(-0.000057*(G134^3)+0.013255*(G134^2)-0.989405*G134+36.807322,2)</f>
        <v>21.87</v>
      </c>
      <c r="L134" s="34">
        <v>1000</v>
      </c>
      <c r="M134" s="35">
        <f>-0.000002*(G134^2)+0.000396*G134-0.00428</f>
        <v>0.0028399999999999996</v>
      </c>
      <c r="N134" s="34">
        <f>ROUND((0.1079936167*(EXP(0.0033700829*G134))),2)</f>
        <v>0.12</v>
      </c>
      <c r="O134" s="34">
        <f>(N134*1000)/((3.1415/6)*1000*('[1]PM number'!C25*0.000000001)^3*EXP(4.5*1.8^2))</f>
        <v>15805071821738474</v>
      </c>
      <c r="P134" s="19">
        <v>95</v>
      </c>
      <c r="Q134" s="19">
        <v>4</v>
      </c>
      <c r="R134" s="20">
        <f>ROUND(X134*(Q134*60),1)</f>
        <v>3.7</v>
      </c>
      <c r="S134" s="20">
        <v>1</v>
      </c>
      <c r="T134" s="20">
        <f>ROUND(-0.000057*(P134^3)+0.013255*(P134^2)-0.989405*P134+36.807322,2)</f>
        <v>13.57</v>
      </c>
      <c r="U134" s="20">
        <v>1000</v>
      </c>
      <c r="V134" s="20">
        <f>ROUND((0.1079936167*(EXP(0.0033700829*P134))),2)</f>
        <v>0.15</v>
      </c>
      <c r="W134" s="34">
        <f>(V134*1000)/((3.1415/6)*1000*('[1]PM number'!$E$25*0.000000001)^3*EXP(4.5*1.8^2))</f>
        <v>2037871336462955.5</v>
      </c>
      <c r="X134">
        <f>-0.000002*(P134^2)+0.000396*P134-0.00428</f>
        <v>0.015290000000000002</v>
      </c>
      <c r="Y134" s="19">
        <v>60</v>
      </c>
      <c r="Z134" s="19">
        <v>5.5</v>
      </c>
      <c r="AA134" s="20">
        <f>ROUND((AG134*(5.5*60)),2)</f>
        <v>4.05</v>
      </c>
      <c r="AB134" s="20">
        <v>4</v>
      </c>
      <c r="AC134" s="20">
        <f>ROUND(-0.000057*(Y134^3)+0.013255*(Y134^2)-0.989405*Y134+36.807322,2)</f>
        <v>12.85</v>
      </c>
      <c r="AD134" s="20">
        <v>1000</v>
      </c>
      <c r="AE134" s="20">
        <f>ROUND((0.1079936167*(EXP(0.0033700829*Y134))),3)</f>
        <v>0.132</v>
      </c>
      <c r="AF134" s="34">
        <f>(AE134*1000)/((3.1415/6)*1000*('[1]PM number'!$D$25*0.000000001)^3*EXP(4.5*1.8^2))</f>
        <v>4714395537990795</v>
      </c>
      <c r="AG134" s="34">
        <f>-0.000002*(Y134^2)+0.000396*Y134-0.00428</f>
        <v>0.01228</v>
      </c>
      <c r="AH134" s="21">
        <f t="shared" si="68"/>
        <v>8.7</v>
      </c>
      <c r="AI134" s="21">
        <f t="shared" si="69"/>
        <v>20.8</v>
      </c>
      <c r="AJ134" s="21">
        <f t="shared" si="114"/>
        <v>121.9</v>
      </c>
      <c r="AK134" s="21">
        <f t="shared" si="70"/>
        <v>8650</v>
      </c>
      <c r="AL134" s="21">
        <f t="shared" si="71"/>
        <v>1.2</v>
      </c>
      <c r="AM134" s="21">
        <f t="shared" si="115"/>
        <v>22557338696192224</v>
      </c>
      <c r="AN134" s="54">
        <v>1</v>
      </c>
      <c r="AO134" s="54">
        <v>90</v>
      </c>
      <c r="AP134" s="22">
        <f t="shared" si="116"/>
        <v>0.0116670175539</v>
      </c>
      <c r="AQ134" s="34">
        <v>2</v>
      </c>
      <c r="AR134" s="34">
        <f>ROUND(-0.000057*(AO134^3)+0.013255*(AO134^2)-0.989405*AO134+36.807322,2)</f>
        <v>13.57</v>
      </c>
      <c r="AS134" s="34">
        <v>1000</v>
      </c>
      <c r="AT134" s="34">
        <f>ROUND((0.1079936167*(EXP(0.0033700829*AO134))),3)</f>
        <v>0.146</v>
      </c>
      <c r="AU134" s="23">
        <f t="shared" si="117"/>
        <v>42</v>
      </c>
      <c r="AV134" s="23">
        <f t="shared" si="118"/>
        <v>0.08</v>
      </c>
      <c r="AW134" s="23">
        <f t="shared" si="119"/>
        <v>0.57</v>
      </c>
      <c r="AX134" s="23">
        <f t="shared" si="120"/>
        <v>42</v>
      </c>
      <c r="AY134" s="23">
        <f t="shared" si="121"/>
        <v>6.1</v>
      </c>
      <c r="AZ134" s="23">
        <f>(AY134*1000)/((3.1415/6)*1000*('[1]PM number'!$F$16*0.000000001)^3*EXP(4.5*1.8^2))</f>
        <v>1.1154545563827915E+17</v>
      </c>
    </row>
    <row r="135" spans="1:52" ht="12.75">
      <c r="A135" s="50" t="s">
        <v>396</v>
      </c>
      <c r="B135" s="53" t="s">
        <v>397</v>
      </c>
      <c r="C135" s="50" t="s">
        <v>398</v>
      </c>
      <c r="D135" s="50" t="s">
        <v>399</v>
      </c>
      <c r="E135" s="26">
        <v>245</v>
      </c>
      <c r="F135" s="26">
        <v>1</v>
      </c>
      <c r="G135" s="27">
        <v>20</v>
      </c>
      <c r="H135" s="28">
        <v>5</v>
      </c>
      <c r="I135" s="34">
        <f>ROUND(M135*(H135*60),1)</f>
        <v>1</v>
      </c>
      <c r="J135" s="34">
        <v>1</v>
      </c>
      <c r="K135" s="34">
        <f>ROUND(-0.00005*(G135^3)+0.01218*(G135^2)-0.90827*G135+33.72182,2)</f>
        <v>20.03</v>
      </c>
      <c r="L135" s="34">
        <v>1000</v>
      </c>
      <c r="M135" s="35">
        <f>-0.000003*(G135^2)+0.000518*G135-0.005692</f>
        <v>0.0034680000000000015</v>
      </c>
      <c r="N135" s="34">
        <f>ROUND((0.1090912287*(EXP(0.0041354517*G135))),2)</f>
        <v>0.12</v>
      </c>
      <c r="O135" s="34">
        <f>(N135*1000)/((3.1415/6)*1000*('[1]PM number'!C25*0.000000001)^3*EXP(4.5*1.8^2))</f>
        <v>15805071821738474</v>
      </c>
      <c r="P135" s="19">
        <v>95</v>
      </c>
      <c r="Q135" s="19">
        <v>4</v>
      </c>
      <c r="R135" s="20">
        <f>ROUND(X135*(4*60),2)</f>
        <v>3.95</v>
      </c>
      <c r="S135" s="20">
        <v>1</v>
      </c>
      <c r="T135" s="20">
        <v>12.1</v>
      </c>
      <c r="U135" s="20">
        <v>1000</v>
      </c>
      <c r="V135" s="20">
        <f>ROUND((0.1090912287*(EXP(0.0041354517*P135))),2)</f>
        <v>0.16</v>
      </c>
      <c r="W135" s="34">
        <f>(V135*1000)/((3.1415/6)*1000*('[1]PM number'!$E$25*0.000000001)^3*EXP(4.5*1.8^2))</f>
        <v>2173729425560485.8</v>
      </c>
      <c r="X135">
        <f>-0.000003*(P135^2)+0.000518*P135-0.005692</f>
        <v>0.016443000000000003</v>
      </c>
      <c r="Y135" s="19">
        <v>60</v>
      </c>
      <c r="Z135" s="19">
        <v>5.5</v>
      </c>
      <c r="AA135" s="20">
        <f>ROUND(AG135*(4*60),2)</f>
        <v>3.5</v>
      </c>
      <c r="AB135" s="20">
        <v>4</v>
      </c>
      <c r="AC135" s="20">
        <f>ROUND(-0.00005*(Y135^3)+0.01218*(Y135^2)-0.90827*Y135+33.72182,2)</f>
        <v>12.27</v>
      </c>
      <c r="AD135" s="20">
        <v>1000</v>
      </c>
      <c r="AE135" s="20">
        <f>ROUND((0.1090912287*(EXP(0.0041354517*Y135))),3)</f>
        <v>0.14</v>
      </c>
      <c r="AF135" s="34">
        <f>(AE135*1000)/((3.1415/6)*1000*('[1]PM number'!$D$25*0.000000001)^3*EXP(4.5*1.8^2))</f>
        <v>5000116479687207</v>
      </c>
      <c r="AG135" s="34">
        <f>-0.000003*(Y135^2)+0.000518*Y135-0.005692</f>
        <v>0.014588</v>
      </c>
      <c r="AH135" s="21">
        <f t="shared" si="68"/>
        <v>8.5</v>
      </c>
      <c r="AI135" s="21">
        <f t="shared" si="69"/>
        <v>19</v>
      </c>
      <c r="AJ135" s="21">
        <f t="shared" si="114"/>
        <v>110.8</v>
      </c>
      <c r="AK135" s="21">
        <f t="shared" si="70"/>
        <v>8450</v>
      </c>
      <c r="AL135" s="21">
        <f t="shared" si="71"/>
        <v>1.2</v>
      </c>
      <c r="AM135" s="21">
        <f t="shared" si="115"/>
        <v>22978917726986170</v>
      </c>
      <c r="AN135" s="54">
        <v>1</v>
      </c>
      <c r="AO135" s="54">
        <v>90</v>
      </c>
      <c r="AP135" s="22">
        <f t="shared" si="116"/>
        <v>0.01583196442411875</v>
      </c>
      <c r="AQ135" s="34">
        <v>2</v>
      </c>
      <c r="AR135" s="34">
        <v>12.1</v>
      </c>
      <c r="AS135" s="34">
        <v>1000</v>
      </c>
      <c r="AT135" s="34">
        <f>ROUND((0.1090912287*(EXP(0.0041354517*AO135))),3)</f>
        <v>0.158</v>
      </c>
      <c r="AU135" s="23">
        <f t="shared" si="117"/>
        <v>57</v>
      </c>
      <c r="AV135" s="23">
        <f t="shared" si="118"/>
        <v>0.11</v>
      </c>
      <c r="AW135" s="23">
        <f t="shared" si="119"/>
        <v>0.69</v>
      </c>
      <c r="AX135" s="23">
        <f t="shared" si="120"/>
        <v>57</v>
      </c>
      <c r="AY135" s="23">
        <f t="shared" si="121"/>
        <v>9</v>
      </c>
      <c r="AZ135" s="23">
        <f>(AY135*1000)/((3.1415/6)*1000*('[1]PM number'!$F$16*0.000000001)^3*EXP(4.5*1.8^2))</f>
        <v>1.645752624171332E+17</v>
      </c>
    </row>
    <row r="136" spans="1:52" ht="12.75">
      <c r="A136" s="50" t="s">
        <v>400</v>
      </c>
      <c r="B136" s="53" t="s">
        <v>401</v>
      </c>
      <c r="C136" s="50" t="s">
        <v>402</v>
      </c>
      <c r="D136" s="51" t="s">
        <v>403</v>
      </c>
      <c r="E136" s="26">
        <v>180</v>
      </c>
      <c r="F136" s="26">
        <v>1</v>
      </c>
      <c r="G136" s="27">
        <v>20</v>
      </c>
      <c r="H136" s="28">
        <v>5</v>
      </c>
      <c r="I136" s="34">
        <f>ROUND((-0.0000022*(G136^2)+0.000372*G136-0.0039791)*(5*60),2)</f>
        <v>0.77</v>
      </c>
      <c r="J136" s="34">
        <v>1</v>
      </c>
      <c r="K136" s="34">
        <f>ROUND(-0.00006*(G136^3)+0.01331*(G136^2)-0.99765*G136+37.34448,2)</f>
        <v>22.24</v>
      </c>
      <c r="L136" s="34">
        <v>1000</v>
      </c>
      <c r="M136" s="35">
        <f>-0.0000022*(G136^2)+0.000372*G136-0.0039791</f>
        <v>0.0025808999999999997</v>
      </c>
      <c r="N136" s="34">
        <f>ROUND(-0.00000017*(G136^3)+0.00004501*(G136^2)-0.00266436*G136+0.08553444,2)</f>
        <v>0.05</v>
      </c>
      <c r="O136" s="34">
        <f>(N136*1000)/((3.1415/6)*1000*('[1]PM number'!C25*0.000000001)^3*EXP(4.5*1.8^2))</f>
        <v>6585446592391031</v>
      </c>
      <c r="P136" s="19">
        <v>95</v>
      </c>
      <c r="Q136" s="19">
        <v>4</v>
      </c>
      <c r="R136" s="20">
        <f>ROUND(X136*(Q136*60),1)</f>
        <v>2.8</v>
      </c>
      <c r="S136" s="20">
        <v>1</v>
      </c>
      <c r="T136" s="20">
        <v>13.2</v>
      </c>
      <c r="U136" s="20">
        <v>1000</v>
      </c>
      <c r="V136" s="20">
        <v>0.1</v>
      </c>
      <c r="W136" s="34">
        <f>(V136*1000)/((3.1415/6)*1000*('[1]PM number'!$E$25*0.000000001)^3*EXP(4.5*1.8^2))</f>
        <v>1358580890975303.5</v>
      </c>
      <c r="X136">
        <f>-0.0000022*(P136^2)+0.000372*P136-0.0039791</f>
        <v>0.011505899999999996</v>
      </c>
      <c r="Y136" s="19">
        <v>60</v>
      </c>
      <c r="Z136" s="19">
        <v>5.5</v>
      </c>
      <c r="AA136" s="20">
        <f>ROUND(AG136*(Z136*60),1)</f>
        <v>3.4</v>
      </c>
      <c r="AB136" s="20">
        <v>4</v>
      </c>
      <c r="AC136" s="20">
        <v>13.3</v>
      </c>
      <c r="AD136" s="20">
        <v>1000</v>
      </c>
      <c r="AE136" s="20">
        <f>ROUND(-0.00000017*(Y136^3)+0.00004501*(Y136^2)-0.00266436*Y136+0.08553444,2)</f>
        <v>0.05</v>
      </c>
      <c r="AF136" s="34">
        <f>(AE136*1000)/((3.1415/6)*1000*('[1]PM number'!$D$25*0.000000001)^3*EXP(4.5*1.8^2))</f>
        <v>1785755885602573.8</v>
      </c>
      <c r="AG136" s="34">
        <f>-0.0000022*(Y136^2)+0.000372*Y136-0.0039791</f>
        <v>0.0104209</v>
      </c>
      <c r="AH136" s="21">
        <f t="shared" si="68"/>
        <v>7</v>
      </c>
      <c r="AI136" s="21">
        <f t="shared" si="69"/>
        <v>17.2</v>
      </c>
      <c r="AJ136" s="21">
        <f t="shared" si="114"/>
        <v>99.3</v>
      </c>
      <c r="AK136" s="21">
        <f t="shared" si="70"/>
        <v>6970</v>
      </c>
      <c r="AL136" s="21">
        <f t="shared" si="71"/>
        <v>0.5</v>
      </c>
      <c r="AM136" s="21">
        <f t="shared" si="115"/>
        <v>9729783368968908</v>
      </c>
      <c r="AN136" s="54">
        <v>1</v>
      </c>
      <c r="AO136" s="54">
        <v>90</v>
      </c>
      <c r="AP136" s="22">
        <f t="shared" si="116"/>
        <v>0.0109605323184</v>
      </c>
      <c r="AQ136" s="34">
        <v>2</v>
      </c>
      <c r="AR136" s="34">
        <f>ROUND(-0.00006*(AO136^3)+0.01331*(AO136^2)-0.99765*AO136+37.34448,2)</f>
        <v>11.63</v>
      </c>
      <c r="AS136" s="34">
        <v>1000</v>
      </c>
      <c r="AT136" s="34">
        <f>ROUND(-0.00000017*(AO136^3)+0.00004501*(AO136^2)-0.00266436*AO136+0.08553444,2)</f>
        <v>0.09</v>
      </c>
      <c r="AU136" s="23">
        <f t="shared" si="117"/>
        <v>39.5</v>
      </c>
      <c r="AV136" s="23">
        <f t="shared" si="118"/>
        <v>0.08</v>
      </c>
      <c r="AW136" s="23">
        <f t="shared" si="119"/>
        <v>0.46</v>
      </c>
      <c r="AX136" s="23">
        <f t="shared" si="120"/>
        <v>39.46</v>
      </c>
      <c r="AY136" s="23">
        <f t="shared" si="121"/>
        <v>3.6</v>
      </c>
      <c r="AZ136" s="23">
        <f>(AY136*1000)/((3.1415/6)*1000*('[1]PM number'!$F$16*0.000000001)^3*EXP(4.5*1.8^2))</f>
        <v>65830104966853270</v>
      </c>
    </row>
    <row r="137" spans="1:52" ht="25.5">
      <c r="A137" s="50" t="s">
        <v>404</v>
      </c>
      <c r="B137" s="55" t="s">
        <v>299</v>
      </c>
      <c r="C137" s="50" t="s">
        <v>300</v>
      </c>
      <c r="D137" s="50" t="s">
        <v>405</v>
      </c>
      <c r="E137" s="26">
        <v>160</v>
      </c>
      <c r="F137" s="26">
        <v>1</v>
      </c>
      <c r="G137" s="27">
        <v>20</v>
      </c>
      <c r="H137" s="28">
        <v>5</v>
      </c>
      <c r="I137" s="17">
        <f aca="true" t="shared" si="122" ref="I137:I144">ROUND(M137*300,1)</f>
        <v>0.6</v>
      </c>
      <c r="J137" s="17">
        <v>1</v>
      </c>
      <c r="K137" s="17">
        <f aca="true" t="shared" si="123" ref="K137:K144">ROUND(80*((G137/100)*E137)^(-0.35),2)</f>
        <v>23.78</v>
      </c>
      <c r="L137" s="17">
        <v>1000</v>
      </c>
      <c r="M137" s="18">
        <f aca="true" t="shared" si="124" ref="M137:M144">1.9*10^(-12)*((G137/100)*E137)^4-1*10^(-9)*((G137/100)*E137)^3+2.6*10^(-7)*((G137/100)*E137)^2+4*10^(-5)*((G137/100)*E137)+0.0006</f>
        <v>0.0021154642944</v>
      </c>
      <c r="N137" s="17">
        <v>0.05</v>
      </c>
      <c r="O137" s="17">
        <f>(N137*1000)/((3.1415/6)*1000*('[1]PM number'!C16*0.000000001)^3*EXP(4.5*1.8^2))</f>
        <v>6380732569584769</v>
      </c>
      <c r="P137" s="19">
        <v>95</v>
      </c>
      <c r="Q137" s="19">
        <v>4</v>
      </c>
      <c r="R137" s="20">
        <f aca="true" t="shared" si="125" ref="R137:R144">ROUND(X137*(Q137*60),1)</f>
        <v>2.4</v>
      </c>
      <c r="S137" s="20">
        <v>1</v>
      </c>
      <c r="T137" s="20">
        <f>ROUND(80*((P135/100)*E135)^(-0.35),2)</f>
        <v>11.88</v>
      </c>
      <c r="U137" s="20">
        <v>1000</v>
      </c>
      <c r="V137" s="20">
        <v>0.1</v>
      </c>
      <c r="W137" s="17">
        <f>(V137*1000)/((3.1415/6)*1000*('[1]PM number'!$E$16*0.000000001)^3*EXP(4.5*1.8^2))</f>
        <v>1558182963522556.8</v>
      </c>
      <c r="X137">
        <f aca="true" t="shared" si="126" ref="X137:X144">1.9*10^(-12)*((P137/100)*E137)^4-1*10^(-9)*((P137/100)*E137)^3+2.6*10^(-7)*((P137/100)*E137)^2+4*10^(-5)*((P137/100)*E137)+0.0006</f>
        <v>0.0101894421504</v>
      </c>
      <c r="Y137" s="19">
        <v>60</v>
      </c>
      <c r="Z137" s="19">
        <v>5.5</v>
      </c>
      <c r="AA137" s="20">
        <f aca="true" t="shared" si="127" ref="AA137:AA144">ROUND(AG137*(Z137*60),1)</f>
        <v>2</v>
      </c>
      <c r="AB137" s="20">
        <v>4</v>
      </c>
      <c r="AC137" s="20">
        <f aca="true" t="shared" si="128" ref="AC137:AC144">ROUND(80*((Y137/100)*E137)^(-0.35),2)</f>
        <v>16.19</v>
      </c>
      <c r="AD137" s="20">
        <v>1000</v>
      </c>
      <c r="AE137" s="20">
        <v>0.04</v>
      </c>
      <c r="AF137" s="17">
        <f>(AE137*1000)/((3.1415/6)*1000*('[1]PM number'!$D$16*0.000000001)^3*EXP(4.5*1.8^2))</f>
        <v>2509657947446642.5</v>
      </c>
      <c r="AG137" s="17">
        <f aca="true" t="shared" si="129" ref="AG137:AG144">1.9*10^(-12)*((Y137/100)*E137)^4-1*10^(-9)*((Y137/100)*E137)^3+2.6*10^(-7)*((Y137/100)*E137)^2+4*10^(-5)*((Y137/100)*E137)+0.0006</f>
        <v>0.006112799846400001</v>
      </c>
      <c r="AH137" s="21">
        <f t="shared" si="68"/>
        <v>5</v>
      </c>
      <c r="AI137" s="21">
        <f t="shared" si="69"/>
        <v>11</v>
      </c>
      <c r="AJ137" s="21">
        <f t="shared" si="114"/>
        <v>75.2</v>
      </c>
      <c r="AK137" s="21">
        <f t="shared" si="70"/>
        <v>5000</v>
      </c>
      <c r="AL137" s="21">
        <f t="shared" si="71"/>
        <v>0.4</v>
      </c>
      <c r="AM137" s="21">
        <f t="shared" si="115"/>
        <v>10448573480553968</v>
      </c>
      <c r="AN137" s="19">
        <v>1</v>
      </c>
      <c r="AO137" s="19">
        <v>90</v>
      </c>
      <c r="AP137" s="22">
        <f aca="true" t="shared" si="130" ref="AP137:AP144">1.9*10^(-12)*((AO137/100)*E137)^4-1*10^(-9)*((AO137/100)*E137)^3+2.6*10^(-7)*((AO137/100)*E137)^2+4*10^(-5)*((AO137/100)*E137)+0.0006</f>
        <v>0.009582341222399999</v>
      </c>
      <c r="AQ137" s="22">
        <v>2</v>
      </c>
      <c r="AR137" s="22">
        <f aca="true" t="shared" si="131" ref="AR137:AR144">ROUND(80*((AO137/100)*E137)^(-0.35),2)</f>
        <v>14.05</v>
      </c>
      <c r="AS137" s="22">
        <v>1000</v>
      </c>
      <c r="AT137" s="22">
        <v>0.07</v>
      </c>
      <c r="AU137" s="23">
        <f t="shared" si="117"/>
        <v>34.5</v>
      </c>
      <c r="AV137" s="23">
        <f t="shared" si="118"/>
        <v>0.07</v>
      </c>
      <c r="AW137" s="23">
        <f t="shared" si="119"/>
        <v>0.48</v>
      </c>
      <c r="AX137" s="23">
        <f t="shared" si="120"/>
        <v>34.5</v>
      </c>
      <c r="AY137" s="23">
        <f t="shared" si="121"/>
        <v>2.4</v>
      </c>
      <c r="AZ137" s="23">
        <f>(AY137*1000)/((3.1415/6)*1000*('[1]PM number'!$F$16*0.000000001)^3*EXP(4.5*1.8^2))</f>
        <v>43886736644568850</v>
      </c>
    </row>
    <row r="138" spans="1:52" ht="25.5">
      <c r="A138" s="50" t="s">
        <v>404</v>
      </c>
      <c r="B138" s="53" t="s">
        <v>299</v>
      </c>
      <c r="C138" s="50" t="s">
        <v>300</v>
      </c>
      <c r="D138" s="51" t="s">
        <v>405</v>
      </c>
      <c r="E138" s="26">
        <v>150</v>
      </c>
      <c r="F138" s="26">
        <v>1</v>
      </c>
      <c r="G138" s="27">
        <v>20</v>
      </c>
      <c r="H138" s="28">
        <v>5</v>
      </c>
      <c r="I138" s="17">
        <f t="shared" si="122"/>
        <v>0.6</v>
      </c>
      <c r="J138" s="17">
        <v>1</v>
      </c>
      <c r="K138" s="17">
        <f t="shared" si="123"/>
        <v>24.33</v>
      </c>
      <c r="L138" s="17">
        <v>1000</v>
      </c>
      <c r="M138" s="18">
        <f t="shared" si="124"/>
        <v>0.002008539</v>
      </c>
      <c r="N138" s="17">
        <v>0.05</v>
      </c>
      <c r="O138" s="17">
        <f>(N138*1000)/((3.1415/6)*1000*('[1]PM number'!C25*0.000000001)^3*EXP(4.5*1.8^2))</f>
        <v>6585446592391031</v>
      </c>
      <c r="P138" s="19">
        <v>95</v>
      </c>
      <c r="Q138" s="19">
        <v>4</v>
      </c>
      <c r="R138" s="20">
        <f t="shared" si="125"/>
        <v>2.3</v>
      </c>
      <c r="S138" s="20">
        <v>1</v>
      </c>
      <c r="T138" s="20">
        <f>ROUND(80*((P136/100)*E136)^(-0.35),2)</f>
        <v>13.23</v>
      </c>
      <c r="U138" s="20">
        <v>1000</v>
      </c>
      <c r="V138" s="20">
        <v>0.1</v>
      </c>
      <c r="W138" s="17">
        <f>(V138*1000)/((3.1415/6)*1000*('[1]PM number'!$E$25*0.000000001)^3*EXP(4.5*1.8^2))</f>
        <v>1358580890975303.5</v>
      </c>
      <c r="X138">
        <f t="shared" si="126"/>
        <v>0.00946943757421875</v>
      </c>
      <c r="Y138" s="19">
        <v>60</v>
      </c>
      <c r="Z138" s="19">
        <v>5.5</v>
      </c>
      <c r="AA138" s="20">
        <f t="shared" si="127"/>
        <v>1.9</v>
      </c>
      <c r="AB138" s="20">
        <v>4</v>
      </c>
      <c r="AC138" s="20">
        <f t="shared" si="128"/>
        <v>16.56</v>
      </c>
      <c r="AD138" s="20">
        <v>1000</v>
      </c>
      <c r="AE138" s="20">
        <v>0.04</v>
      </c>
      <c r="AF138" s="17">
        <f>(AE138*1000)/((3.1415/6)*1000*('[1]PM number'!$D$25*0.000000001)^3*EXP(4.5*1.8^2))</f>
        <v>1428604708482059</v>
      </c>
      <c r="AG138" s="17">
        <f t="shared" si="129"/>
        <v>0.0057016589999999995</v>
      </c>
      <c r="AH138" s="21">
        <f t="shared" si="68"/>
        <v>4.8</v>
      </c>
      <c r="AI138" s="21">
        <f t="shared" si="69"/>
        <v>10.5</v>
      </c>
      <c r="AJ138" s="21">
        <f t="shared" si="114"/>
        <v>76.5</v>
      </c>
      <c r="AK138" s="21">
        <f t="shared" si="70"/>
        <v>4800</v>
      </c>
      <c r="AL138" s="21">
        <f t="shared" si="71"/>
        <v>0.3</v>
      </c>
      <c r="AM138" s="21">
        <f t="shared" si="115"/>
        <v>9372632191848392</v>
      </c>
      <c r="AN138" s="19">
        <v>1</v>
      </c>
      <c r="AO138" s="19">
        <v>90</v>
      </c>
      <c r="AP138" s="22">
        <f t="shared" si="130"/>
        <v>0.008909211187499998</v>
      </c>
      <c r="AQ138" s="22">
        <v>2</v>
      </c>
      <c r="AR138" s="22">
        <f t="shared" si="131"/>
        <v>14.37</v>
      </c>
      <c r="AS138" s="22">
        <v>1000</v>
      </c>
      <c r="AT138" s="22">
        <v>0.07</v>
      </c>
      <c r="AU138" s="23">
        <f t="shared" si="117"/>
        <v>32.1</v>
      </c>
      <c r="AV138" s="23">
        <f t="shared" si="118"/>
        <v>0.06</v>
      </c>
      <c r="AW138" s="23">
        <f t="shared" si="119"/>
        <v>0.46</v>
      </c>
      <c r="AX138" s="23">
        <f t="shared" si="120"/>
        <v>32.07</v>
      </c>
      <c r="AY138" s="23">
        <f t="shared" si="121"/>
        <v>2.2</v>
      </c>
      <c r="AZ138" s="23">
        <f>(AY138*1000)/((3.1415/6)*1000*('[1]PM number'!$F$16*0.000000001)^3*EXP(4.5*1.8^2))</f>
        <v>40229508590854776</v>
      </c>
    </row>
    <row r="139" spans="1:52" ht="38.25">
      <c r="A139" s="50" t="s">
        <v>406</v>
      </c>
      <c r="B139" s="53" t="s">
        <v>407</v>
      </c>
      <c r="C139" s="50" t="s">
        <v>408</v>
      </c>
      <c r="D139" s="51" t="s">
        <v>409</v>
      </c>
      <c r="E139" s="26">
        <v>133</v>
      </c>
      <c r="F139" s="26">
        <v>1</v>
      </c>
      <c r="G139" s="27">
        <v>20</v>
      </c>
      <c r="H139" s="28">
        <v>5</v>
      </c>
      <c r="I139" s="17">
        <f t="shared" si="122"/>
        <v>0.5</v>
      </c>
      <c r="J139" s="22">
        <v>1</v>
      </c>
      <c r="K139" s="17">
        <f t="shared" si="123"/>
        <v>25.37</v>
      </c>
      <c r="L139" s="17">
        <v>1000</v>
      </c>
      <c r="M139" s="18">
        <f t="shared" si="124"/>
        <v>0.00183009572219184</v>
      </c>
      <c r="N139" s="17">
        <v>0.05</v>
      </c>
      <c r="O139" s="17">
        <f>(N139*1000)/((3.1415/6)*1000*('[1]PM number'!C25*0.000000001)^3*EXP(4.5*1.8^2))</f>
        <v>6585446592391031</v>
      </c>
      <c r="P139" s="19">
        <v>95</v>
      </c>
      <c r="Q139" s="19">
        <v>4</v>
      </c>
      <c r="R139" s="20">
        <f t="shared" si="125"/>
        <v>2</v>
      </c>
      <c r="S139" s="20">
        <v>1</v>
      </c>
      <c r="T139" s="20">
        <f>ROUND(80*((P139/100)*E139)^(-0.35),2)</f>
        <v>14.71</v>
      </c>
      <c r="U139" s="20">
        <v>1000</v>
      </c>
      <c r="V139" s="20">
        <v>0.1</v>
      </c>
      <c r="W139" s="17">
        <f>(V139*1000)/((3.1415/6)*1000*('[1]PM number'!$E$25*0.000000001)^3*EXP(4.5*1.8^2))</f>
        <v>1358580890975303.5</v>
      </c>
      <c r="X139" s="31">
        <f t="shared" si="126"/>
        <v>0.008271864928604612</v>
      </c>
      <c r="Y139" s="19">
        <v>60</v>
      </c>
      <c r="Z139" s="19">
        <v>5.5</v>
      </c>
      <c r="AA139" s="20">
        <f t="shared" si="127"/>
        <v>1.7</v>
      </c>
      <c r="AB139" s="20">
        <v>4</v>
      </c>
      <c r="AC139" s="20">
        <f t="shared" si="128"/>
        <v>17.27</v>
      </c>
      <c r="AD139" s="20">
        <v>1000</v>
      </c>
      <c r="AE139" s="20">
        <v>0.04</v>
      </c>
      <c r="AF139" s="17">
        <f>(AE139*1000)/((3.1415/6)*1000*('[1]PM number'!$D$25*0.000000001)^3*EXP(4.5*1.8^2))</f>
        <v>1428604708482059</v>
      </c>
      <c r="AG139" s="17">
        <f t="shared" si="129"/>
        <v>0.00501656948153904</v>
      </c>
      <c r="AH139" s="21">
        <f t="shared" si="68"/>
        <v>4.2</v>
      </c>
      <c r="AI139" s="21">
        <f t="shared" si="69"/>
        <v>9.3</v>
      </c>
      <c r="AJ139" s="21">
        <f t="shared" si="114"/>
        <v>71.5</v>
      </c>
      <c r="AK139" s="21">
        <f t="shared" si="70"/>
        <v>4200</v>
      </c>
      <c r="AL139" s="21">
        <f t="shared" si="71"/>
        <v>0.3</v>
      </c>
      <c r="AM139" s="21">
        <f t="shared" si="115"/>
        <v>9372632191848392</v>
      </c>
      <c r="AN139" s="19">
        <v>1</v>
      </c>
      <c r="AO139" s="19">
        <v>90</v>
      </c>
      <c r="AP139" s="22">
        <f t="shared" si="130"/>
        <v>0.00778828993679139</v>
      </c>
      <c r="AQ139" s="22">
        <v>2</v>
      </c>
      <c r="AR139" s="22">
        <f t="shared" si="131"/>
        <v>14.99</v>
      </c>
      <c r="AS139" s="22">
        <v>1000</v>
      </c>
      <c r="AT139" s="22">
        <v>0.07</v>
      </c>
      <c r="AU139" s="23">
        <f t="shared" si="117"/>
        <v>28</v>
      </c>
      <c r="AV139" s="23">
        <f t="shared" si="118"/>
        <v>0.06</v>
      </c>
      <c r="AW139" s="23">
        <f t="shared" si="119"/>
        <v>0.42</v>
      </c>
      <c r="AX139" s="23">
        <f t="shared" si="120"/>
        <v>28.04</v>
      </c>
      <c r="AY139" s="23">
        <f t="shared" si="121"/>
        <v>2</v>
      </c>
      <c r="AZ139" s="23">
        <f>(AY139*1000)/((3.1415/6)*1000*('[1]PM number'!$F$16*0.000000001)^3*EXP(4.5*1.8^2))</f>
        <v>36572280537140700</v>
      </c>
    </row>
    <row r="140" spans="1:52" ht="38.25">
      <c r="A140" s="50" t="s">
        <v>404</v>
      </c>
      <c r="B140" s="55" t="s">
        <v>299</v>
      </c>
      <c r="C140" s="50" t="s">
        <v>300</v>
      </c>
      <c r="D140" s="50" t="s">
        <v>410</v>
      </c>
      <c r="E140" s="26">
        <v>160</v>
      </c>
      <c r="F140" s="26">
        <v>1</v>
      </c>
      <c r="G140" s="27">
        <v>20</v>
      </c>
      <c r="H140" s="28">
        <v>5</v>
      </c>
      <c r="I140" s="17">
        <f t="shared" si="122"/>
        <v>0.6</v>
      </c>
      <c r="J140" s="17">
        <v>1</v>
      </c>
      <c r="K140" s="17">
        <f t="shared" si="123"/>
        <v>23.78</v>
      </c>
      <c r="L140" s="17">
        <v>1000</v>
      </c>
      <c r="M140" s="18">
        <f t="shared" si="124"/>
        <v>0.0021154642944</v>
      </c>
      <c r="N140" s="17">
        <v>0.05</v>
      </c>
      <c r="O140" s="17">
        <f>(N140*1000)/((3.1415/6)*1000*('[1]PM number'!C16*0.000000001)^3*EXP(4.5*1.8^2))</f>
        <v>6380732569584769</v>
      </c>
      <c r="P140" s="19">
        <v>95</v>
      </c>
      <c r="Q140" s="19">
        <v>4</v>
      </c>
      <c r="R140" s="20">
        <f t="shared" si="125"/>
        <v>2.4</v>
      </c>
      <c r="S140" s="20">
        <v>1</v>
      </c>
      <c r="T140" s="20">
        <f>ROUND(80*((P138/100)*E138)^(-0.35),2)</f>
        <v>14.1</v>
      </c>
      <c r="U140" s="20">
        <v>1000</v>
      </c>
      <c r="V140" s="20">
        <v>0.1</v>
      </c>
      <c r="W140" s="56">
        <f>(V140*1000)/((3.1415/6)*1000*('[1]PM number'!$E$16*0.000000001)^3*EXP(4.5*1.8^2))</f>
        <v>1558182963522556.8</v>
      </c>
      <c r="X140">
        <f t="shared" si="126"/>
        <v>0.0101894421504</v>
      </c>
      <c r="Y140" s="19">
        <v>60</v>
      </c>
      <c r="Z140" s="19">
        <v>5.5</v>
      </c>
      <c r="AA140" s="20">
        <f t="shared" si="127"/>
        <v>2</v>
      </c>
      <c r="AB140" s="20">
        <v>4</v>
      </c>
      <c r="AC140" s="20">
        <f t="shared" si="128"/>
        <v>16.19</v>
      </c>
      <c r="AD140" s="20">
        <v>1000</v>
      </c>
      <c r="AE140" s="20">
        <v>0.04</v>
      </c>
      <c r="AF140" s="17">
        <f>(AE140*1000)/((3.1415/6)*1000*('[1]PM number'!$D$16*0.000000001)^3*EXP(4.5*1.8^2))</f>
        <v>2509657947446642.5</v>
      </c>
      <c r="AG140" s="17">
        <f t="shared" si="129"/>
        <v>0.006112799846400001</v>
      </c>
      <c r="AH140" s="21">
        <f>ROUND((I140+R140+AA140)*F140,1)</f>
        <v>5</v>
      </c>
      <c r="AI140" s="21">
        <f>ROUND((J140*I140+S140*R140+AB140*AA140)*F140,1)</f>
        <v>11</v>
      </c>
      <c r="AJ140" s="21">
        <f t="shared" si="114"/>
        <v>80.5</v>
      </c>
      <c r="AK140" s="21">
        <f>ROUND((I140*L140+R140*U140+AA140*AD140)*F140,1)</f>
        <v>5000</v>
      </c>
      <c r="AL140" s="21">
        <f>ROUND((N140*I140+V140*R140+AE140*AA140)*F140,1)</f>
        <v>0.4</v>
      </c>
      <c r="AM140" s="21">
        <f t="shared" si="115"/>
        <v>10448573480553968</v>
      </c>
      <c r="AN140" s="19">
        <v>1</v>
      </c>
      <c r="AO140" s="19">
        <v>90</v>
      </c>
      <c r="AP140" s="22">
        <f t="shared" si="130"/>
        <v>0.009582341222399999</v>
      </c>
      <c r="AQ140" s="22">
        <v>2</v>
      </c>
      <c r="AR140" s="22">
        <f t="shared" si="131"/>
        <v>14.05</v>
      </c>
      <c r="AS140" s="22">
        <v>1000</v>
      </c>
      <c r="AT140" s="22">
        <v>0.07</v>
      </c>
      <c r="AU140" s="23">
        <f t="shared" si="117"/>
        <v>34.5</v>
      </c>
      <c r="AV140" s="23">
        <f t="shared" si="118"/>
        <v>0.07</v>
      </c>
      <c r="AW140" s="23">
        <f t="shared" si="119"/>
        <v>0.48</v>
      </c>
      <c r="AX140" s="23">
        <f t="shared" si="120"/>
        <v>34.5</v>
      </c>
      <c r="AY140" s="23">
        <f t="shared" si="121"/>
        <v>2.4</v>
      </c>
      <c r="AZ140" s="23">
        <f>(AY140*1000)/((3.1415/6)*1000*('[1]PM number'!$F$16*0.000000001)^3*EXP(4.5*1.8^2))</f>
        <v>43886736644568850</v>
      </c>
    </row>
    <row r="141" spans="1:52" ht="25.5">
      <c r="A141" s="52" t="s">
        <v>411</v>
      </c>
      <c r="B141" s="53" t="s">
        <v>412</v>
      </c>
      <c r="C141" s="50" t="s">
        <v>413</v>
      </c>
      <c r="D141" s="51" t="s">
        <v>414</v>
      </c>
      <c r="E141" s="26">
        <v>220</v>
      </c>
      <c r="F141" s="26">
        <v>1</v>
      </c>
      <c r="G141" s="27">
        <v>20</v>
      </c>
      <c r="H141" s="28">
        <v>5</v>
      </c>
      <c r="I141" s="17">
        <f t="shared" si="122"/>
        <v>0.8</v>
      </c>
      <c r="J141" s="17">
        <v>1</v>
      </c>
      <c r="K141" s="17">
        <f t="shared" si="123"/>
        <v>21.28</v>
      </c>
      <c r="L141" s="17">
        <v>1000</v>
      </c>
      <c r="M141" s="18">
        <f t="shared" si="124"/>
        <v>0.0027852973824</v>
      </c>
      <c r="N141" s="17">
        <v>0.05</v>
      </c>
      <c r="O141" s="17">
        <f>(N141*1000)/((3.1415/6)*1000*('[1]PM number'!C25*0.000000001)^3*EXP(4.5*1.8^2))</f>
        <v>6585446592391031</v>
      </c>
      <c r="P141" s="19">
        <v>95</v>
      </c>
      <c r="Q141" s="19">
        <v>4</v>
      </c>
      <c r="R141" s="20">
        <f t="shared" si="125"/>
        <v>3.6</v>
      </c>
      <c r="S141" s="20">
        <v>1</v>
      </c>
      <c r="T141" s="20">
        <f>ROUND(80*((P141/100)*E141)^(-0.35),2)</f>
        <v>12.33</v>
      </c>
      <c r="U141" s="20">
        <v>1000</v>
      </c>
      <c r="V141" s="20">
        <v>0.1</v>
      </c>
      <c r="W141" s="17">
        <f>(V141*1000)/((3.1415/6)*1000*('[1]PM number'!$E$25*0.000000001)^3*EXP(4.5*1.8^2))</f>
        <v>1358580890975303.5</v>
      </c>
      <c r="X141" s="17">
        <f t="shared" si="126"/>
        <v>0.014812987545900002</v>
      </c>
      <c r="Y141" s="19">
        <v>60</v>
      </c>
      <c r="Z141" s="19">
        <v>5.5</v>
      </c>
      <c r="AA141" s="20">
        <f t="shared" si="127"/>
        <v>2.9</v>
      </c>
      <c r="AB141" s="20">
        <v>4</v>
      </c>
      <c r="AC141" s="20">
        <f t="shared" si="128"/>
        <v>14.48</v>
      </c>
      <c r="AD141" s="20">
        <v>1000</v>
      </c>
      <c r="AE141" s="20">
        <v>0.04</v>
      </c>
      <c r="AF141" s="17">
        <f>(AE141*1000)/((3.1415/6)*1000*('[1]PM number'!$D$25*0.000000001)^3*EXP(4.5*1.8^2))</f>
        <v>1428604708482059</v>
      </c>
      <c r="AG141" s="17">
        <f t="shared" si="129"/>
        <v>0.0086871039744</v>
      </c>
      <c r="AH141" s="21">
        <f>ROUND((I141+R141+AA141)*F141,1)</f>
        <v>7.3</v>
      </c>
      <c r="AI141" s="21">
        <f>ROUND((J141*I141+S141*R141+AB141*AA141)*F141,1)</f>
        <v>16</v>
      </c>
      <c r="AJ141" s="21">
        <f t="shared" si="114"/>
        <v>103.4</v>
      </c>
      <c r="AK141" s="21">
        <f>ROUND((I141*L141+R141*U141+AA141*AD141)*F141,1)</f>
        <v>7300</v>
      </c>
      <c r="AL141" s="21">
        <f>ROUND((N141*I141+V141*R141+AE141*AA141)*F141,1)</f>
        <v>0.5</v>
      </c>
      <c r="AM141" s="21">
        <f t="shared" si="115"/>
        <v>9372632191848392</v>
      </c>
      <c r="AN141" s="19">
        <v>1</v>
      </c>
      <c r="AO141" s="19">
        <v>90</v>
      </c>
      <c r="AP141" s="22">
        <f t="shared" si="130"/>
        <v>0.0138708598704</v>
      </c>
      <c r="AQ141" s="22">
        <v>2</v>
      </c>
      <c r="AR141" s="22">
        <f t="shared" si="131"/>
        <v>12.57</v>
      </c>
      <c r="AS141" s="22">
        <v>1000</v>
      </c>
      <c r="AT141" s="22">
        <v>0.07</v>
      </c>
      <c r="AU141" s="23">
        <f t="shared" si="117"/>
        <v>49.9</v>
      </c>
      <c r="AV141" s="23">
        <f t="shared" si="118"/>
        <v>0.1</v>
      </c>
      <c r="AW141" s="23">
        <f t="shared" si="119"/>
        <v>0.63</v>
      </c>
      <c r="AX141" s="23">
        <f t="shared" si="120"/>
        <v>49.94</v>
      </c>
      <c r="AY141" s="23">
        <f t="shared" si="121"/>
        <v>3.5</v>
      </c>
      <c r="AZ141" s="23">
        <f>(AY141*1000)/((3.1415/6)*1000*('[1]PM number'!$F$25*0.000000001)^3*EXP(4.5*1.8^2))</f>
        <v>51273272072230184</v>
      </c>
    </row>
    <row r="142" spans="1:52" ht="25.5">
      <c r="A142" s="50" t="s">
        <v>411</v>
      </c>
      <c r="B142" s="53" t="s">
        <v>412</v>
      </c>
      <c r="C142" s="50" t="s">
        <v>415</v>
      </c>
      <c r="D142" s="51" t="s">
        <v>416</v>
      </c>
      <c r="E142" s="26">
        <v>270</v>
      </c>
      <c r="F142" s="26">
        <v>1</v>
      </c>
      <c r="G142" s="27">
        <v>20</v>
      </c>
      <c r="H142" s="28">
        <v>5</v>
      </c>
      <c r="I142" s="17">
        <f t="shared" si="122"/>
        <v>1</v>
      </c>
      <c r="J142" s="17">
        <v>1</v>
      </c>
      <c r="K142" s="17">
        <f t="shared" si="123"/>
        <v>19.8</v>
      </c>
      <c r="L142" s="17">
        <v>1000</v>
      </c>
      <c r="M142" s="18">
        <f t="shared" si="124"/>
        <v>0.0033768518064</v>
      </c>
      <c r="N142" s="17">
        <v>0.05</v>
      </c>
      <c r="O142" s="17">
        <f>(N142*1000)/((3.1415/6)*1000*('[1]PM number'!C25*0.000000001)^3*EXP(4.5*1.8^2))</f>
        <v>6585446592391031</v>
      </c>
      <c r="P142" s="19">
        <v>95</v>
      </c>
      <c r="Q142" s="19">
        <v>4</v>
      </c>
      <c r="R142" s="20">
        <f t="shared" si="125"/>
        <v>4.6</v>
      </c>
      <c r="S142" s="20">
        <v>1</v>
      </c>
      <c r="T142" s="20">
        <f>ROUND(80*((P142/100)*E142)^(-0.35),2)</f>
        <v>11.48</v>
      </c>
      <c r="U142" s="20">
        <v>1000</v>
      </c>
      <c r="V142" s="20">
        <v>0.1</v>
      </c>
      <c r="W142" s="17">
        <f>(V142*1000)/((3.1415/6)*1000*('[1]PM number'!$E$25*0.000000001)^3*EXP(4.5*1.8^2))</f>
        <v>1358580890975303.5</v>
      </c>
      <c r="X142" s="17">
        <f t="shared" si="126"/>
        <v>0.01931465117911875</v>
      </c>
      <c r="Y142" s="19">
        <v>60</v>
      </c>
      <c r="Z142" s="19">
        <v>5.5</v>
      </c>
      <c r="AA142" s="20">
        <f t="shared" si="127"/>
        <v>3.6</v>
      </c>
      <c r="AB142" s="20">
        <v>4</v>
      </c>
      <c r="AC142" s="20">
        <f t="shared" si="128"/>
        <v>13.48</v>
      </c>
      <c r="AD142" s="20">
        <v>1000</v>
      </c>
      <c r="AE142" s="20">
        <v>0.04</v>
      </c>
      <c r="AF142" s="17">
        <f>(AE142*1000)/((3.1415/6)*1000*('[1]PM number'!$D$25*0.000000001)^3*EXP(4.5*1.8^2))</f>
        <v>1428604708482059</v>
      </c>
      <c r="AG142" s="17">
        <f t="shared" si="129"/>
        <v>0.0109605323184</v>
      </c>
      <c r="AH142" s="21">
        <f>ROUND((I142+R142+AA142)*F142,1)</f>
        <v>9.2</v>
      </c>
      <c r="AI142" s="21">
        <f>ROUND((J142*I142+S142*R142+AB142*AA142)*F142,1)</f>
        <v>20</v>
      </c>
      <c r="AJ142" s="21">
        <f t="shared" si="114"/>
        <v>121.1</v>
      </c>
      <c r="AK142" s="21">
        <f>ROUND((I142*L142+R142*U142+AA142*AD142)*F142,1)</f>
        <v>9200</v>
      </c>
      <c r="AL142" s="21">
        <f>ROUND((N142*I142+V142*R142+AE142*AA142)*F142,1)</f>
        <v>0.7</v>
      </c>
      <c r="AM142" s="21">
        <f t="shared" si="115"/>
        <v>9372632191848392</v>
      </c>
      <c r="AN142" s="19">
        <v>1</v>
      </c>
      <c r="AO142" s="19">
        <v>90</v>
      </c>
      <c r="AP142" s="22">
        <f t="shared" si="130"/>
        <v>0.0179487233619</v>
      </c>
      <c r="AQ142" s="22">
        <v>2</v>
      </c>
      <c r="AR142" s="22">
        <f t="shared" si="131"/>
        <v>11.7</v>
      </c>
      <c r="AS142" s="22">
        <v>1000</v>
      </c>
      <c r="AT142" s="22">
        <v>0.07</v>
      </c>
      <c r="AU142" s="23">
        <f t="shared" si="117"/>
        <v>64.6</v>
      </c>
      <c r="AV142" s="23">
        <f t="shared" si="118"/>
        <v>0.13</v>
      </c>
      <c r="AW142" s="23">
        <f t="shared" si="119"/>
        <v>0.76</v>
      </c>
      <c r="AX142" s="23">
        <f t="shared" si="120"/>
        <v>64.62</v>
      </c>
      <c r="AY142" s="23">
        <f t="shared" si="121"/>
        <v>4.5</v>
      </c>
      <c r="AZ142" s="23">
        <f>(AY142*1000)/((3.1415/6)*1000*('[1]PM number'!$F$25*0.000000001)^3*EXP(4.5*1.8^2))</f>
        <v>65922778378581660</v>
      </c>
    </row>
    <row r="143" spans="1:52" ht="25.5">
      <c r="A143" s="57" t="s">
        <v>411</v>
      </c>
      <c r="B143" s="58" t="s">
        <v>412</v>
      </c>
      <c r="C143" s="59" t="s">
        <v>413</v>
      </c>
      <c r="D143" s="59" t="s">
        <v>416</v>
      </c>
      <c r="E143" s="44">
        <v>266</v>
      </c>
      <c r="F143" s="44">
        <v>1</v>
      </c>
      <c r="G143" s="45">
        <v>20</v>
      </c>
      <c r="H143" s="60">
        <v>5</v>
      </c>
      <c r="I143" s="56">
        <f t="shared" si="122"/>
        <v>1</v>
      </c>
      <c r="J143" s="56">
        <v>1</v>
      </c>
      <c r="K143" s="56">
        <f t="shared" si="123"/>
        <v>19.91</v>
      </c>
      <c r="L143" s="56">
        <v>1000</v>
      </c>
      <c r="M143" s="61">
        <f t="shared" si="124"/>
        <v>0.00332851312306944</v>
      </c>
      <c r="N143" s="56">
        <v>0.05</v>
      </c>
      <c r="O143" s="56">
        <f>(N143*1000)/((3.1415/6)*1000*('[1]PM number'!C25*0.000000001)^3*EXP(4.5*1.8^2))</f>
        <v>6585446592391031</v>
      </c>
      <c r="P143" s="62">
        <v>95</v>
      </c>
      <c r="Q143" s="62">
        <v>3</v>
      </c>
      <c r="R143" s="63">
        <f t="shared" si="125"/>
        <v>3.4</v>
      </c>
      <c r="S143" s="63">
        <v>1</v>
      </c>
      <c r="T143" s="63">
        <f>ROUND(80*((P143/100)*E143)^(-0.35),2)</f>
        <v>11.54</v>
      </c>
      <c r="U143" s="63">
        <v>1000</v>
      </c>
      <c r="V143" s="63">
        <v>0.1</v>
      </c>
      <c r="W143" s="17">
        <f>(V143*1000)/((3.1415/6)*1000*('[1]PM number'!$E$25*0.000000001)^3*EXP(4.5*1.8^2))</f>
        <v>1358580890975303.5</v>
      </c>
      <c r="X143" s="17">
        <f t="shared" si="126"/>
        <v>0.01892188984067379</v>
      </c>
      <c r="Y143" s="62">
        <v>60</v>
      </c>
      <c r="Z143" s="62">
        <v>5.5</v>
      </c>
      <c r="AA143" s="63">
        <f t="shared" si="127"/>
        <v>3.6</v>
      </c>
      <c r="AB143" s="63">
        <v>4</v>
      </c>
      <c r="AC143" s="63">
        <f t="shared" si="128"/>
        <v>13.55</v>
      </c>
      <c r="AD143" s="63">
        <v>1000</v>
      </c>
      <c r="AE143" s="63">
        <v>0.04</v>
      </c>
      <c r="AF143" s="17">
        <f>(AE143*1000)/((3.1415/6)*1000*('[1]PM number'!$D$25*0.000000001)^3*EXP(4.5*1.8^2))</f>
        <v>1428604708482059</v>
      </c>
      <c r="AG143" s="17">
        <f t="shared" si="129"/>
        <v>0.01077418364062464</v>
      </c>
      <c r="AH143" s="64">
        <f>ROUND((I143+R143+AA143)*F143,1)</f>
        <v>8</v>
      </c>
      <c r="AI143" s="64">
        <f>ROUND((J143*I143+S143*R143+AB143*AA143)*F143,1)</f>
        <v>18.8</v>
      </c>
      <c r="AJ143" s="64">
        <f t="shared" si="114"/>
        <v>107.9</v>
      </c>
      <c r="AK143" s="64">
        <f>ROUND((I143*L143+R143*U143+AA143*AD143)*F143,1)</f>
        <v>8000</v>
      </c>
      <c r="AL143" s="64">
        <f>ROUND((N143*I143+V143*R143+AE143*AA143)*F143,1)</f>
        <v>0.5</v>
      </c>
      <c r="AM143" s="64">
        <f t="shared" si="115"/>
        <v>9372632191848392</v>
      </c>
      <c r="AN143" s="62">
        <v>1</v>
      </c>
      <c r="AO143" s="62">
        <v>90</v>
      </c>
      <c r="AP143" s="65">
        <f t="shared" si="130"/>
        <v>0.01759757717266224</v>
      </c>
      <c r="AQ143" s="65">
        <v>2</v>
      </c>
      <c r="AR143" s="65">
        <f t="shared" si="131"/>
        <v>11.76</v>
      </c>
      <c r="AS143" s="65">
        <v>1000</v>
      </c>
      <c r="AT143" s="65">
        <v>0.07</v>
      </c>
      <c r="AU143" s="66">
        <f t="shared" si="117"/>
        <v>63.4</v>
      </c>
      <c r="AV143" s="66">
        <f t="shared" si="118"/>
        <v>0.13</v>
      </c>
      <c r="AW143" s="66">
        <f t="shared" si="119"/>
        <v>0.75</v>
      </c>
      <c r="AX143" s="66">
        <f t="shared" si="120"/>
        <v>63.35</v>
      </c>
      <c r="AY143" s="66">
        <f t="shared" si="121"/>
        <v>4.4</v>
      </c>
      <c r="AZ143" s="66">
        <f>(AY143*1000)/((3.1415/6)*1000*('[1]PM number'!$F$25*0.000000001)^3*EXP(4.5*1.8^2))</f>
        <v>64457827747946510</v>
      </c>
    </row>
    <row r="144" spans="1:52" ht="25.5">
      <c r="A144" s="51" t="s">
        <v>417</v>
      </c>
      <c r="B144" s="53" t="s">
        <v>381</v>
      </c>
      <c r="C144" s="50" t="s">
        <v>418</v>
      </c>
      <c r="D144" s="67" t="s">
        <v>419</v>
      </c>
      <c r="E144" s="26">
        <v>320</v>
      </c>
      <c r="F144" s="26">
        <v>1</v>
      </c>
      <c r="G144" s="27">
        <v>20</v>
      </c>
      <c r="H144" s="19">
        <v>5</v>
      </c>
      <c r="I144" s="17">
        <f t="shared" si="122"/>
        <v>1.2</v>
      </c>
      <c r="J144" s="17">
        <v>1</v>
      </c>
      <c r="K144" s="17">
        <f t="shared" si="123"/>
        <v>18.66</v>
      </c>
      <c r="L144" s="17">
        <v>1000</v>
      </c>
      <c r="M144" s="17">
        <f t="shared" si="124"/>
        <v>0.0039946927104</v>
      </c>
      <c r="N144" s="17">
        <v>0.05</v>
      </c>
      <c r="O144" s="17">
        <f>(N144*1000)/((3.1415/6)*1000*('[1]PM number'!C25*0.000000001)^3*EXP(4.5*1.8^2))</f>
        <v>6585446592391031</v>
      </c>
      <c r="P144" s="19">
        <v>95</v>
      </c>
      <c r="Q144" s="19">
        <v>4</v>
      </c>
      <c r="R144" s="20">
        <f t="shared" si="125"/>
        <v>6</v>
      </c>
      <c r="S144" s="20">
        <v>1</v>
      </c>
      <c r="T144" s="20">
        <f>ROUND(80*((P144/100)*E144)^(-0.35),2)</f>
        <v>10.82</v>
      </c>
      <c r="U144" s="20">
        <v>1000</v>
      </c>
      <c r="V144" s="20">
        <v>0.1</v>
      </c>
      <c r="W144" s="17">
        <f>(V144*1000)/((3.1415/6)*1000*('[1]PM number'!$E$25*0.000000001)^3*EXP(4.5*1.8^2))</f>
        <v>1358580890975303.5</v>
      </c>
      <c r="X144" s="17">
        <f t="shared" si="126"/>
        <v>0.024921058406399996</v>
      </c>
      <c r="Y144" s="19">
        <v>60</v>
      </c>
      <c r="Z144" s="19">
        <v>5.5</v>
      </c>
      <c r="AA144" s="20">
        <f t="shared" si="127"/>
        <v>4.4</v>
      </c>
      <c r="AB144" s="20">
        <v>4</v>
      </c>
      <c r="AC144" s="20">
        <f t="shared" si="128"/>
        <v>12.7</v>
      </c>
      <c r="AD144" s="20">
        <v>1000</v>
      </c>
      <c r="AE144" s="20">
        <v>0.04</v>
      </c>
      <c r="AF144" s="17">
        <f>(AE144*1000)/((3.1415/6)*1000*('[1]PM number'!$D$25*0.000000001)^3*EXP(4.5*1.8^2))</f>
        <v>1428604708482059</v>
      </c>
      <c r="AG144" s="17">
        <f t="shared" si="129"/>
        <v>0.013368765542400001</v>
      </c>
      <c r="AH144" s="21">
        <f>ROUND((I144+R144+AA144)*F144,1)</f>
        <v>11.6</v>
      </c>
      <c r="AI144" s="21">
        <f>ROUND((J144*I144+S144*R144+AB144*AA144)*F144,1)</f>
        <v>24.8</v>
      </c>
      <c r="AJ144" s="21">
        <f t="shared" si="114"/>
        <v>143.2</v>
      </c>
      <c r="AK144" s="21">
        <f>ROUND((I144*L144+R144*U144+AA144*AD144)*F144,1)</f>
        <v>11600</v>
      </c>
      <c r="AL144" s="21">
        <f>ROUND((N144*I144+V144*R144+AE144*AA144)*F144,1)</f>
        <v>0.8</v>
      </c>
      <c r="AM144" s="21">
        <f t="shared" si="115"/>
        <v>9372632191848392</v>
      </c>
      <c r="AN144" s="19">
        <v>1</v>
      </c>
      <c r="AO144" s="19">
        <v>90</v>
      </c>
      <c r="AP144" s="22">
        <f t="shared" si="130"/>
        <v>0.022869011558399998</v>
      </c>
      <c r="AQ144" s="22">
        <v>2</v>
      </c>
      <c r="AR144" s="22">
        <f t="shared" si="131"/>
        <v>11.02</v>
      </c>
      <c r="AS144" s="22">
        <v>1000</v>
      </c>
      <c r="AT144" s="22">
        <v>0.07</v>
      </c>
      <c r="AU144" s="23">
        <f t="shared" si="117"/>
        <v>82.3</v>
      </c>
      <c r="AV144" s="23">
        <f t="shared" si="118"/>
        <v>0.16</v>
      </c>
      <c r="AW144" s="23">
        <f t="shared" si="119"/>
        <v>0.91</v>
      </c>
      <c r="AX144" s="23">
        <f t="shared" si="120"/>
        <v>82.33</v>
      </c>
      <c r="AY144" s="23">
        <f t="shared" si="121"/>
        <v>5.8</v>
      </c>
      <c r="AZ144" s="23">
        <f>(AY144*1000)/((3.1415/6)*1000*('[1]PM number'!$F$25*0.000000001)^3*EXP(4.5*1.8^2))</f>
        <v>84967136576838600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Rindlisbacher</dc:creator>
  <cp:keywords/>
  <dc:description/>
  <cp:lastModifiedBy>Räz Nicole BAZL</cp:lastModifiedBy>
  <dcterms:created xsi:type="dcterms:W3CDTF">2016-04-08T10:44:19Z</dcterms:created>
  <dcterms:modified xsi:type="dcterms:W3CDTF">2017-07-27T06:51:19Z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Umwelt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>COO.1.1001.1.137854</vt:lpwstr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BAZL, CH-3003 Bern, 3003 Bern</vt:lpwstr>
  </property>
  <property fmtid="{D5CDD505-2E9C-101B-9397-08002B2CF9AE}" pid="18" name="FSC#UVEKCFG@15.1700:CurrUserAbbreviation">
    <vt:lpwstr>ran</vt:lpwstr>
  </property>
  <property fmtid="{D5CDD505-2E9C-101B-9397-08002B2CF9AE}" pid="19" name="FSC#UVEKCFG@15.1700:CategoryReference">
    <vt:lpwstr>047.1</vt:lpwstr>
  </property>
  <property fmtid="{D5CDD505-2E9C-101B-9397-08002B2CF9AE}" pid="20" name="FSC#UVEKCFG@15.1700:cooAddress">
    <vt:lpwstr>COO.2207.111.3.2319565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>Bundesamt für Zivilluftfahrt</vt:lpwstr>
  </property>
  <property fmtid="{D5CDD505-2E9C-101B-9397-08002B2CF9AE}" pid="23" name="FSC#UVEKCFG@15.1700:BureauShortName">
    <vt:lpwstr>BAZL</vt:lpwstr>
  </property>
  <property fmtid="{D5CDD505-2E9C-101B-9397-08002B2CF9AE}" pid="24" name="FSC#UVEKCFG@15.1700:BureauWebsite">
    <vt:lpwstr>www.bazl.admin.ch</vt:lpwstr>
  </property>
  <property fmtid="{D5CDD505-2E9C-101B-9397-08002B2CF9AE}" pid="25" name="FSC#UVEKCFG@15.1700:SubFileTitle">
    <vt:lpwstr>FOCA Helicopter Emissions Estimations V2.0 2016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COOELAK@1.1001:Subject">
    <vt:lpwstr/>
  </property>
  <property fmtid="{D5CDD505-2E9C-101B-9397-08002B2CF9AE}" pid="38" name="FSC#COOELAK@1.1001:FileReference">
    <vt:lpwstr>047.1-00017</vt:lpwstr>
  </property>
  <property fmtid="{D5CDD505-2E9C-101B-9397-08002B2CF9AE}" pid="39" name="FSC#COOELAK@1.1001:FileRefYear">
    <vt:lpwstr>2016</vt:lpwstr>
  </property>
  <property fmtid="{D5CDD505-2E9C-101B-9397-08002B2CF9AE}" pid="40" name="FSC#COOELAK@1.1001:FileRefOrdinal">
    <vt:lpwstr>17</vt:lpwstr>
  </property>
  <property fmtid="{D5CDD505-2E9C-101B-9397-08002B2CF9AE}" pid="41" name="FSC#COOELAK@1.1001:FileRefOU">
    <vt:lpwstr>LE</vt:lpwstr>
  </property>
  <property fmtid="{D5CDD505-2E9C-101B-9397-08002B2CF9AE}" pid="42" name="FSC#COOELAK@1.1001:Organization">
    <vt:lpwstr/>
  </property>
  <property fmtid="{D5CDD505-2E9C-101B-9397-08002B2CF9AE}" pid="43" name="FSC#COOELAK@1.1001:Owner">
    <vt:lpwstr>Rindlisbacher Theo</vt:lpwstr>
  </property>
  <property fmtid="{D5CDD505-2E9C-101B-9397-08002B2CF9AE}" pid="44" name="FSC#COOELAK@1.1001:OwnerExtension">
    <vt:lpwstr>+41 58 465 93 76</vt:lpwstr>
  </property>
  <property fmtid="{D5CDD505-2E9C-101B-9397-08002B2CF9AE}" pid="45" name="FSC#COOELAK@1.1001:OwnerFaxExtension">
    <vt:lpwstr>+41 58 465 80 32</vt:lpwstr>
  </property>
  <property fmtid="{D5CDD505-2E9C-101B-9397-08002B2CF9AE}" pid="46" name="FSC#COOELAK@1.1001:DispatchedBy">
    <vt:lpwstr/>
  </property>
  <property fmtid="{D5CDD505-2E9C-101B-9397-08002B2CF9AE}" pid="47" name="FSC#COOELAK@1.1001:DispatchedAt">
    <vt:lpwstr/>
  </property>
  <property fmtid="{D5CDD505-2E9C-101B-9397-08002B2CF9AE}" pid="48" name="FSC#COOELAK@1.1001:ApprovedBy">
    <vt:lpwstr/>
  </property>
  <property fmtid="{D5CDD505-2E9C-101B-9397-08002B2CF9AE}" pid="49" name="FSC#COOELAK@1.1001:ApprovedAt">
    <vt:lpwstr/>
  </property>
  <property fmtid="{D5CDD505-2E9C-101B-9397-08002B2CF9AE}" pid="50" name="FSC#COOELAK@1.1001:Department">
    <vt:lpwstr>Umwelt (BAZL)</vt:lpwstr>
  </property>
  <property fmtid="{D5CDD505-2E9C-101B-9397-08002B2CF9AE}" pid="51" name="FSC#COOELAK@1.1001:CreatedAt">
    <vt:lpwstr>08.04.2016</vt:lpwstr>
  </property>
  <property fmtid="{D5CDD505-2E9C-101B-9397-08002B2CF9AE}" pid="52" name="FSC#COOELAK@1.1001:OU">
    <vt:lpwstr>Umwelt (BAZL)</vt:lpwstr>
  </property>
  <property fmtid="{D5CDD505-2E9C-101B-9397-08002B2CF9AE}" pid="53" name="FSC#COOELAK@1.1001:Priority">
    <vt:lpwstr> ()</vt:lpwstr>
  </property>
  <property fmtid="{D5CDD505-2E9C-101B-9397-08002B2CF9AE}" pid="54" name="FSC#COOELAK@1.1001:ObjBarCode">
    <vt:lpwstr>*COO.2207.111.3.2319565*</vt:lpwstr>
  </property>
  <property fmtid="{D5CDD505-2E9C-101B-9397-08002B2CF9AE}" pid="55" name="FSC#COOELAK@1.1001:RefBarCode">
    <vt:lpwstr>*COO.2207.111.4.2319565*</vt:lpwstr>
  </property>
  <property fmtid="{D5CDD505-2E9C-101B-9397-08002B2CF9AE}" pid="56" name="FSC#COOELAK@1.1001:FileRefBarCode">
    <vt:lpwstr>*047.1-00017*</vt:lpwstr>
  </property>
  <property fmtid="{D5CDD505-2E9C-101B-9397-08002B2CF9AE}" pid="57" name="FSC#COOELAK@1.1001:ExternalRef">
    <vt:lpwstr/>
  </property>
  <property fmtid="{D5CDD505-2E9C-101B-9397-08002B2CF9AE}" pid="58" name="FSC#COOELAK@1.1001:IncomingNumber">
    <vt:lpwstr/>
  </property>
  <property fmtid="{D5CDD505-2E9C-101B-9397-08002B2CF9AE}" pid="59" name="FSC#COOELAK@1.1001:IncomingSubject">
    <vt:lpwstr/>
  </property>
  <property fmtid="{D5CDD505-2E9C-101B-9397-08002B2CF9AE}" pid="60" name="FSC#COOELAK@1.1001:ProcessResponsible">
    <vt:lpwstr>Rindlisbacher Theo</vt:lpwstr>
  </property>
  <property fmtid="{D5CDD505-2E9C-101B-9397-08002B2CF9AE}" pid="61" name="FSC#COOELAK@1.1001:ProcessResponsiblePhone">
    <vt:lpwstr>+41 58 465 93 76</vt:lpwstr>
  </property>
  <property fmtid="{D5CDD505-2E9C-101B-9397-08002B2CF9AE}" pid="62" name="FSC#COOELAK@1.1001:ProcessResponsibleMail">
    <vt:lpwstr>Theo.Rindlisbacher@bazl.admin.ch</vt:lpwstr>
  </property>
  <property fmtid="{D5CDD505-2E9C-101B-9397-08002B2CF9AE}" pid="63" name="FSC#COOELAK@1.1001:ProcessResponsibleFax">
    <vt:lpwstr>+41 58 465 80 32</vt:lpwstr>
  </property>
  <property fmtid="{D5CDD505-2E9C-101B-9397-08002B2CF9AE}" pid="64" name="FSC#COOELAK@1.1001:ApproverFirstName">
    <vt:lpwstr/>
  </property>
  <property fmtid="{D5CDD505-2E9C-101B-9397-08002B2CF9AE}" pid="65" name="FSC#COOELAK@1.1001:ApproverSurName">
    <vt:lpwstr/>
  </property>
  <property fmtid="{D5CDD505-2E9C-101B-9397-08002B2CF9AE}" pid="66" name="FSC#COOELAK@1.1001:ApproverTitle">
    <vt:lpwstr/>
  </property>
  <property fmtid="{D5CDD505-2E9C-101B-9397-08002B2CF9AE}" pid="67" name="FSC#COOELAK@1.1001:ExternalDate">
    <vt:lpwstr/>
  </property>
  <property fmtid="{D5CDD505-2E9C-101B-9397-08002B2CF9AE}" pid="68" name="FSC#COOELAK@1.1001:SettlementApprovedAt">
    <vt:lpwstr/>
  </property>
  <property fmtid="{D5CDD505-2E9C-101B-9397-08002B2CF9AE}" pid="69" name="FSC#COOELAK@1.1001:BaseNumber">
    <vt:lpwstr>047.1</vt:lpwstr>
  </property>
  <property fmtid="{D5CDD505-2E9C-101B-9397-08002B2CF9AE}" pid="70" name="FSC#COOELAK@1.1001:CurrentUserRolePos">
    <vt:lpwstr>Sachbearbeiter/in</vt:lpwstr>
  </property>
  <property fmtid="{D5CDD505-2E9C-101B-9397-08002B2CF9AE}" pid="71" name="FSC#COOELAK@1.1001:CurrentUserEmail">
    <vt:lpwstr>nicole.raez@bazl.admin.ch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ATSTATECFG@1.1001:Office">
    <vt:lpwstr/>
  </property>
  <property fmtid="{D5CDD505-2E9C-101B-9397-08002B2CF9AE}" pid="78" name="FSC#ATSTATECFG@1.1001:Agent">
    <vt:lpwstr/>
  </property>
  <property fmtid="{D5CDD505-2E9C-101B-9397-08002B2CF9AE}" pid="79" name="FSC#ATSTATECFG@1.1001:AgentPhone">
    <vt:lpwstr/>
  </property>
  <property fmtid="{D5CDD505-2E9C-101B-9397-08002B2CF9AE}" pid="80" name="FSC#ATSTATECFG@1.1001:DepartmentFax">
    <vt:lpwstr/>
  </property>
  <property fmtid="{D5CDD505-2E9C-101B-9397-08002B2CF9AE}" pid="81" name="FSC#ATSTATECFG@1.1001:DepartmentEmail">
    <vt:lpwstr/>
  </property>
  <property fmtid="{D5CDD505-2E9C-101B-9397-08002B2CF9AE}" pid="82" name="FSC#ATSTATECFG@1.1001:SubfileDate">
    <vt:lpwstr/>
  </property>
  <property fmtid="{D5CDD505-2E9C-101B-9397-08002B2CF9AE}" pid="83" name="FSC#ATSTATECFG@1.1001:SubfileSubject">
    <vt:lpwstr>FOCA Helicopter Emissions Estimations V2.0 2016</vt:lpwstr>
  </property>
  <property fmtid="{D5CDD505-2E9C-101B-9397-08002B2CF9AE}" pid="84" name="FSC#ATSTATECFG@1.1001:DepartmentZipCode">
    <vt:lpwstr>3003</vt:lpwstr>
  </property>
  <property fmtid="{D5CDD505-2E9C-101B-9397-08002B2CF9AE}" pid="85" name="FSC#ATSTATECFG@1.1001:DepartmentCountry">
    <vt:lpwstr/>
  </property>
  <property fmtid="{D5CDD505-2E9C-101B-9397-08002B2CF9AE}" pid="86" name="FSC#ATSTATECFG@1.1001:DepartmentCity">
    <vt:lpwstr>Bern</vt:lpwstr>
  </property>
  <property fmtid="{D5CDD505-2E9C-101B-9397-08002B2CF9AE}" pid="87" name="FSC#ATSTATECFG@1.1001:DepartmentStreet">
    <vt:lpwstr>BAZL, CH-3003 Bern</vt:lpwstr>
  </property>
  <property fmtid="{D5CDD505-2E9C-101B-9397-08002B2CF9AE}" pid="88" name="FSC#ATSTATECFG@1.1001:DepartmentDVR">
    <vt:lpwstr/>
  </property>
  <property fmtid="{D5CDD505-2E9C-101B-9397-08002B2CF9AE}" pid="89" name="FSC#ATSTATECFG@1.1001:DepartmentUID">
    <vt:lpwstr/>
  </property>
  <property fmtid="{D5CDD505-2E9C-101B-9397-08002B2CF9AE}" pid="90" name="FSC#ATSTATECFG@1.1001:SubfileReference">
    <vt:lpwstr>047.1-00017/00001</vt:lpwstr>
  </property>
  <property fmtid="{D5CDD505-2E9C-101B-9397-08002B2CF9AE}" pid="91" name="FSC#ATSTATECFG@1.1001:Clause">
    <vt:lpwstr/>
  </property>
  <property fmtid="{D5CDD505-2E9C-101B-9397-08002B2CF9AE}" pid="92" name="FSC#ATSTATECFG@1.1001:ApprovedSignature">
    <vt:lpwstr/>
  </property>
  <property fmtid="{D5CDD505-2E9C-101B-9397-08002B2CF9AE}" pid="93" name="FSC#ATSTATECFG@1.1001:BankAccount">
    <vt:lpwstr/>
  </property>
  <property fmtid="{D5CDD505-2E9C-101B-9397-08002B2CF9AE}" pid="94" name="FSC#ATSTATECFG@1.1001:BankAccountOwner">
    <vt:lpwstr/>
  </property>
  <property fmtid="{D5CDD505-2E9C-101B-9397-08002B2CF9AE}" pid="95" name="FSC#ATSTATECFG@1.1001:BankInstitute">
    <vt:lpwstr/>
  </property>
  <property fmtid="{D5CDD505-2E9C-101B-9397-08002B2CF9AE}" pid="96" name="FSC#ATSTATECFG@1.1001:BankAccountID">
    <vt:lpwstr/>
  </property>
  <property fmtid="{D5CDD505-2E9C-101B-9397-08002B2CF9AE}" pid="97" name="FSC#ATSTATECFG@1.1001:BankAccountIBAN">
    <vt:lpwstr/>
  </property>
  <property fmtid="{D5CDD505-2E9C-101B-9397-08002B2CF9AE}" pid="98" name="FSC#ATSTATECFG@1.1001:BankAccountBIC">
    <vt:lpwstr/>
  </property>
  <property fmtid="{D5CDD505-2E9C-101B-9397-08002B2CF9AE}" pid="99" name="FSC#ATSTATECFG@1.1001:BankName">
    <vt:lpwstr/>
  </property>
  <property fmtid="{D5CDD505-2E9C-101B-9397-08002B2CF9AE}" pid="100" name="FSC#COOSYSTEM@1.1:Container">
    <vt:lpwstr>COO.2207.111.3.2319565</vt:lpwstr>
  </property>
  <property fmtid="{D5CDD505-2E9C-101B-9397-08002B2CF9AE}" pid="101" name="FSC#FSCFOLIO@1.1001:docpropproject">
    <vt:lpwstr/>
  </property>
</Properties>
</file>